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sf\Home\Dropbox\JCT3V_ComplexityAssessment\JCT3V-8th\AHG_report\"/>
    </mc:Choice>
  </mc:AlternateContent>
  <bookViews>
    <workbookView xWindow="8160" yWindow="330" windowWidth="13440" windowHeight="8325"/>
  </bookViews>
  <sheets>
    <sheet name="Basic" sheetId="2" r:id="rId1"/>
    <sheet name="Examples" sheetId="4" r:id="rId2"/>
    <sheet name="JCT3V_D0090_PSIP_ATM6" sheetId="6" r:id="rId3"/>
    <sheet name="JCT3V_D0090_ALC_ATM8" sheetId="5" r:id="rId4"/>
    <sheet name="JCT3V_E0132_SDC_HTM7" sheetId="7" r:id="rId5"/>
    <sheet name="JCT3V_G0114_IC_HTM9" sheetId="9" r:id="rId6"/>
    <sheet name="JCT3V_G0114_MC+IC_HTM9" sheetId="10" r:id="rId7"/>
    <sheet name="JCT3V_G0208_MCprocess_HTM9" sheetId="11" r:id="rId8"/>
    <sheet name="JCT3V_H0127_DIM_HTM10" sheetId="12" r:id="rId9"/>
  </sheets>
  <calcPr calcId="152511"/>
</workbook>
</file>

<file path=xl/calcChain.xml><?xml version="1.0" encoding="utf-8"?>
<calcChain xmlns="http://schemas.openxmlformats.org/spreadsheetml/2006/main">
  <c r="N44" i="12" l="1"/>
  <c r="N46" i="12"/>
  <c r="D5" i="12"/>
  <c r="D43" i="12" s="1"/>
  <c r="D6" i="12"/>
  <c r="D7" i="12"/>
  <c r="D45" i="12" s="1"/>
  <c r="D8" i="12"/>
  <c r="D4" i="12"/>
  <c r="N42" i="12" s="1"/>
  <c r="V34" i="12"/>
  <c r="U34" i="12"/>
  <c r="T34" i="12"/>
  <c r="N34" i="12"/>
  <c r="M34" i="12"/>
  <c r="L34" i="12"/>
  <c r="K34" i="12"/>
  <c r="F34" i="12"/>
  <c r="E34" i="12"/>
  <c r="D34" i="12"/>
  <c r="B34" i="12"/>
  <c r="V33" i="12"/>
  <c r="U33" i="12"/>
  <c r="T33" i="12"/>
  <c r="N33" i="12"/>
  <c r="M33" i="12"/>
  <c r="L33" i="12"/>
  <c r="K33" i="12"/>
  <c r="F33" i="12"/>
  <c r="E33" i="12"/>
  <c r="D33" i="12"/>
  <c r="C33" i="12"/>
  <c r="B33" i="12"/>
  <c r="V32" i="12"/>
  <c r="U32" i="12"/>
  <c r="T32" i="12"/>
  <c r="N32" i="12"/>
  <c r="M32" i="12"/>
  <c r="L32" i="12"/>
  <c r="K32" i="12"/>
  <c r="F32" i="12"/>
  <c r="E32" i="12"/>
  <c r="D32" i="12"/>
  <c r="C32" i="12"/>
  <c r="B32" i="12"/>
  <c r="V31" i="12"/>
  <c r="U31" i="12"/>
  <c r="T31" i="12"/>
  <c r="N31" i="12"/>
  <c r="M31" i="12"/>
  <c r="L31" i="12"/>
  <c r="K31" i="12"/>
  <c r="F31" i="12"/>
  <c r="E31" i="12"/>
  <c r="D31" i="12"/>
  <c r="C31" i="12"/>
  <c r="B31" i="12"/>
  <c r="V30" i="12"/>
  <c r="U30" i="12"/>
  <c r="T30" i="12"/>
  <c r="N30" i="12"/>
  <c r="M30" i="12"/>
  <c r="L30" i="12"/>
  <c r="K30" i="12"/>
  <c r="F30" i="12"/>
  <c r="E30" i="12"/>
  <c r="D30" i="12"/>
  <c r="C30" i="12"/>
  <c r="B30" i="12"/>
  <c r="W26" i="12"/>
  <c r="V26" i="12"/>
  <c r="U26" i="12"/>
  <c r="T26" i="12"/>
  <c r="P26" i="12"/>
  <c r="O26" i="12"/>
  <c r="N26" i="12"/>
  <c r="M26" i="12"/>
  <c r="L26" i="12"/>
  <c r="K26" i="12"/>
  <c r="G26" i="12"/>
  <c r="F26" i="12"/>
  <c r="E26" i="12"/>
  <c r="D26" i="12"/>
  <c r="B26" i="12"/>
  <c r="W25" i="12"/>
  <c r="V25" i="12"/>
  <c r="U25" i="12"/>
  <c r="T25" i="12"/>
  <c r="P25" i="12"/>
  <c r="O25" i="12"/>
  <c r="N25" i="12"/>
  <c r="M25" i="12"/>
  <c r="L25" i="12"/>
  <c r="K25" i="12"/>
  <c r="G25" i="12"/>
  <c r="F25" i="12"/>
  <c r="E25" i="12"/>
  <c r="D25" i="12"/>
  <c r="C25" i="12"/>
  <c r="B25" i="12"/>
  <c r="W24" i="12"/>
  <c r="V24" i="12"/>
  <c r="U24" i="12"/>
  <c r="T24" i="12"/>
  <c r="P24" i="12"/>
  <c r="O24" i="12"/>
  <c r="N24" i="12"/>
  <c r="M24" i="12"/>
  <c r="L24" i="12"/>
  <c r="K24" i="12"/>
  <c r="G24" i="12"/>
  <c r="F24" i="12"/>
  <c r="E24" i="12"/>
  <c r="D24" i="12"/>
  <c r="C24" i="12"/>
  <c r="B24" i="12"/>
  <c r="W23" i="12"/>
  <c r="V23" i="12"/>
  <c r="U23" i="12"/>
  <c r="T23" i="12"/>
  <c r="P23" i="12"/>
  <c r="O23" i="12"/>
  <c r="N23" i="12"/>
  <c r="M23" i="12"/>
  <c r="L23" i="12"/>
  <c r="K23" i="12"/>
  <c r="G23" i="12"/>
  <c r="F23" i="12"/>
  <c r="E23" i="12"/>
  <c r="D23" i="12"/>
  <c r="C23" i="12"/>
  <c r="B23" i="12"/>
  <c r="W22" i="12"/>
  <c r="V22" i="12"/>
  <c r="U22" i="12"/>
  <c r="T22" i="12"/>
  <c r="P22" i="12"/>
  <c r="O22" i="12"/>
  <c r="N22" i="12"/>
  <c r="M22" i="12"/>
  <c r="L22" i="12"/>
  <c r="K22" i="12"/>
  <c r="G22" i="12"/>
  <c r="F22" i="12"/>
  <c r="E22" i="12"/>
  <c r="D22" i="12"/>
  <c r="C22" i="12"/>
  <c r="B22" i="12"/>
  <c r="W18" i="12"/>
  <c r="Z18" i="12" s="1"/>
  <c r="V18" i="12"/>
  <c r="U18" i="12"/>
  <c r="T18" i="12"/>
  <c r="X18" i="12" s="1"/>
  <c r="L46" i="12" s="1"/>
  <c r="O18" i="12"/>
  <c r="N18" i="12"/>
  <c r="M18" i="12"/>
  <c r="Q18" i="12" s="1"/>
  <c r="I46" i="12" s="1"/>
  <c r="L18" i="12"/>
  <c r="K18" i="12"/>
  <c r="E18" i="12"/>
  <c r="D18" i="12"/>
  <c r="C18" i="12"/>
  <c r="G18" i="12" s="1"/>
  <c r="D46" i="12" s="1"/>
  <c r="B18" i="12"/>
  <c r="F18" i="12" s="1"/>
  <c r="C46" i="12" s="1"/>
  <c r="W17" i="12"/>
  <c r="Z17" i="12" s="1"/>
  <c r="N45" i="12" s="1"/>
  <c r="V17" i="12"/>
  <c r="U17" i="12"/>
  <c r="T17" i="12"/>
  <c r="X17" i="12" s="1"/>
  <c r="L45" i="12" s="1"/>
  <c r="O17" i="12"/>
  <c r="N17" i="12"/>
  <c r="M17" i="12"/>
  <c r="Q17" i="12" s="1"/>
  <c r="I45" i="12" s="1"/>
  <c r="L17" i="12"/>
  <c r="K17" i="12"/>
  <c r="E17" i="12"/>
  <c r="D17" i="12"/>
  <c r="C17" i="12"/>
  <c r="G17" i="12" s="1"/>
  <c r="B17" i="12"/>
  <c r="F17" i="12" s="1"/>
  <c r="C45" i="12" s="1"/>
  <c r="W16" i="12"/>
  <c r="Z16" i="12" s="1"/>
  <c r="V16" i="12"/>
  <c r="U16" i="12"/>
  <c r="T16" i="12"/>
  <c r="X16" i="12" s="1"/>
  <c r="L44" i="12" s="1"/>
  <c r="O16" i="12"/>
  <c r="N16" i="12"/>
  <c r="M16" i="12"/>
  <c r="Q16" i="12" s="1"/>
  <c r="I44" i="12" s="1"/>
  <c r="L16" i="12"/>
  <c r="K16" i="12"/>
  <c r="E16" i="12"/>
  <c r="D16" i="12"/>
  <c r="C16" i="12"/>
  <c r="G16" i="12" s="1"/>
  <c r="D44" i="12" s="1"/>
  <c r="B16" i="12"/>
  <c r="F16" i="12" s="1"/>
  <c r="C44" i="12" s="1"/>
  <c r="W15" i="12"/>
  <c r="Z15" i="12" s="1"/>
  <c r="N43" i="12" s="1"/>
  <c r="V15" i="12"/>
  <c r="U15" i="12"/>
  <c r="T15" i="12"/>
  <c r="X15" i="12" s="1"/>
  <c r="L43" i="12" s="1"/>
  <c r="O15" i="12"/>
  <c r="N15" i="12"/>
  <c r="M15" i="12"/>
  <c r="Q15" i="12" s="1"/>
  <c r="I43" i="12" s="1"/>
  <c r="L15" i="12"/>
  <c r="K15" i="12"/>
  <c r="E15" i="12"/>
  <c r="D15" i="12"/>
  <c r="C15" i="12"/>
  <c r="G15" i="12" s="1"/>
  <c r="B15" i="12"/>
  <c r="F15" i="12" s="1"/>
  <c r="C43" i="12" s="1"/>
  <c r="W14" i="12"/>
  <c r="Z14" i="12" s="1"/>
  <c r="V14" i="12"/>
  <c r="U14" i="12"/>
  <c r="T14" i="12"/>
  <c r="X14" i="12" s="1"/>
  <c r="L42" i="12" s="1"/>
  <c r="O14" i="12"/>
  <c r="N14" i="12"/>
  <c r="M14" i="12"/>
  <c r="Q14" i="12" s="1"/>
  <c r="L14" i="12"/>
  <c r="K14" i="12"/>
  <c r="E14" i="12"/>
  <c r="D14" i="12"/>
  <c r="C14" i="12"/>
  <c r="G14" i="12" s="1"/>
  <c r="D42" i="12" s="1"/>
  <c r="B14" i="12"/>
  <c r="F14" i="12" s="1"/>
  <c r="C42" i="12" s="1"/>
  <c r="I42" i="12" l="1"/>
  <c r="Y14" i="12"/>
  <c r="M42" i="12" s="1"/>
  <c r="Y16" i="12"/>
  <c r="M44" i="12" s="1"/>
  <c r="Y18" i="12"/>
  <c r="M46" i="12" s="1"/>
  <c r="G33" i="12"/>
  <c r="B61" i="12" s="1"/>
  <c r="W33" i="12"/>
  <c r="L61" i="12" s="1"/>
  <c r="G34" i="12"/>
  <c r="B62" i="12" s="1"/>
  <c r="Y15" i="12"/>
  <c r="M43" i="12" s="1"/>
  <c r="Y17" i="12"/>
  <c r="M45" i="12" s="1"/>
  <c r="H22" i="12"/>
  <c r="B50" i="12" s="1"/>
  <c r="Q22" i="12"/>
  <c r="G50" i="12" s="1"/>
  <c r="X22" i="12"/>
  <c r="L50" i="12" s="1"/>
  <c r="H23" i="12"/>
  <c r="B51" i="12" s="1"/>
  <c r="Q23" i="12"/>
  <c r="G51" i="12" s="1"/>
  <c r="X23" i="12"/>
  <c r="L51" i="12" s="1"/>
  <c r="H24" i="12"/>
  <c r="B52" i="12" s="1"/>
  <c r="Q24" i="12"/>
  <c r="G52" i="12" s="1"/>
  <c r="X24" i="12"/>
  <c r="L52" i="12" s="1"/>
  <c r="H25" i="12"/>
  <c r="B53" i="12" s="1"/>
  <c r="Q25" i="12"/>
  <c r="G53" i="12" s="1"/>
  <c r="X25" i="12"/>
  <c r="L53" i="12" s="1"/>
  <c r="G30" i="12"/>
  <c r="B58" i="12" s="1"/>
  <c r="O30" i="12"/>
  <c r="G58" i="12" s="1"/>
  <c r="W30" i="12"/>
  <c r="L58" i="12" s="1"/>
  <c r="O31" i="12"/>
  <c r="G59" i="12" s="1"/>
  <c r="G32" i="12"/>
  <c r="B60" i="12" s="1"/>
  <c r="O32" i="12"/>
  <c r="G60" i="12" s="1"/>
  <c r="W34" i="12"/>
  <c r="L62" i="12" s="1"/>
  <c r="P14" i="12"/>
  <c r="H42" i="12" s="1"/>
  <c r="P15" i="12"/>
  <c r="H43" i="12" s="1"/>
  <c r="P16" i="12"/>
  <c r="H44" i="12" s="1"/>
  <c r="P17" i="12"/>
  <c r="H45" i="12" s="1"/>
  <c r="P18" i="12"/>
  <c r="H46" i="12" s="1"/>
  <c r="H26" i="12"/>
  <c r="B54" i="12" s="1"/>
  <c r="Q26" i="12"/>
  <c r="G54" i="12" s="1"/>
  <c r="X26" i="12"/>
  <c r="L54" i="12" s="1"/>
  <c r="G31" i="12"/>
  <c r="B59" i="12" s="1"/>
  <c r="W31" i="12"/>
  <c r="L59" i="12" s="1"/>
  <c r="O34" i="12"/>
  <c r="G62" i="12" s="1"/>
  <c r="W32" i="12"/>
  <c r="L60" i="12" s="1"/>
  <c r="O33" i="12"/>
  <c r="G61" i="12" s="1"/>
  <c r="G78" i="11" l="1"/>
  <c r="F78" i="11"/>
  <c r="E78" i="11"/>
  <c r="G77" i="11"/>
  <c r="F77" i="11"/>
  <c r="E77" i="11"/>
  <c r="G76" i="11"/>
  <c r="F76" i="11"/>
  <c r="E76" i="11"/>
  <c r="G75" i="11"/>
  <c r="F75" i="11"/>
  <c r="E75" i="11"/>
  <c r="G74" i="11"/>
  <c r="F74" i="11"/>
  <c r="E74" i="11"/>
  <c r="G73" i="11"/>
  <c r="F73" i="11"/>
  <c r="E73" i="11"/>
  <c r="G64" i="11"/>
  <c r="F64" i="11"/>
  <c r="E64" i="11"/>
  <c r="G63" i="11"/>
  <c r="F63" i="11"/>
  <c r="E63" i="11"/>
  <c r="G62" i="11"/>
  <c r="F62" i="11"/>
  <c r="E62" i="11"/>
  <c r="G61" i="11"/>
  <c r="F61" i="11"/>
  <c r="E61" i="11"/>
  <c r="G60" i="11"/>
  <c r="F60" i="11"/>
  <c r="E60" i="11"/>
  <c r="G59" i="11"/>
  <c r="F59" i="11"/>
  <c r="E59" i="11"/>
  <c r="G57" i="11"/>
  <c r="F57" i="11"/>
  <c r="E57" i="11"/>
  <c r="G56" i="11"/>
  <c r="F56" i="11"/>
  <c r="E56" i="11"/>
  <c r="G55" i="11"/>
  <c r="F55" i="11"/>
  <c r="E55" i="11"/>
  <c r="G54" i="11"/>
  <c r="F54" i="11"/>
  <c r="E54" i="11"/>
  <c r="G53" i="11"/>
  <c r="F53" i="11"/>
  <c r="E53" i="11"/>
  <c r="G52" i="11"/>
  <c r="F52" i="11"/>
  <c r="E52" i="11"/>
  <c r="G50" i="11"/>
  <c r="F50" i="11"/>
  <c r="E50" i="11"/>
  <c r="G49" i="11"/>
  <c r="F49" i="11"/>
  <c r="E49" i="11"/>
  <c r="G48" i="11"/>
  <c r="F48" i="11"/>
  <c r="E48" i="11"/>
  <c r="G47" i="11"/>
  <c r="F47" i="11"/>
  <c r="E47" i="11"/>
  <c r="G46" i="11"/>
  <c r="F46" i="11"/>
  <c r="E46" i="11"/>
  <c r="G45" i="11"/>
  <c r="F45" i="11"/>
  <c r="E45" i="11"/>
  <c r="G36" i="11"/>
  <c r="F36" i="11"/>
  <c r="E36" i="11"/>
  <c r="G35" i="11"/>
  <c r="F35" i="11"/>
  <c r="E35" i="11"/>
  <c r="G34" i="11"/>
  <c r="F34" i="11"/>
  <c r="E34" i="11"/>
  <c r="G33" i="11"/>
  <c r="F33" i="11"/>
  <c r="E33" i="11"/>
  <c r="G32" i="11"/>
  <c r="F32" i="11"/>
  <c r="E32" i="11"/>
  <c r="G31" i="11"/>
  <c r="F31" i="11"/>
  <c r="E31" i="11"/>
  <c r="G29" i="11"/>
  <c r="F29" i="11"/>
  <c r="E29" i="11"/>
  <c r="G28" i="11"/>
  <c r="F28" i="11"/>
  <c r="E28" i="11"/>
  <c r="G27" i="11"/>
  <c r="F27" i="11"/>
  <c r="E27" i="11"/>
  <c r="G26" i="11"/>
  <c r="F26" i="11"/>
  <c r="E26" i="11"/>
  <c r="G25" i="11"/>
  <c r="F25" i="11"/>
  <c r="E25" i="11"/>
  <c r="G24" i="11"/>
  <c r="F24" i="11"/>
  <c r="E24" i="11"/>
  <c r="G22" i="11"/>
  <c r="F22" i="11"/>
  <c r="I22" i="11" s="1"/>
  <c r="E22" i="11"/>
  <c r="G21" i="11"/>
  <c r="F21" i="11"/>
  <c r="I21" i="11" s="1"/>
  <c r="E21" i="11"/>
  <c r="G20" i="11"/>
  <c r="F20" i="11"/>
  <c r="I20" i="11" s="1"/>
  <c r="E20" i="11"/>
  <c r="J19" i="11"/>
  <c r="G19" i="11"/>
  <c r="F19" i="11"/>
  <c r="I19" i="11" s="1"/>
  <c r="E19" i="11"/>
  <c r="J18" i="11"/>
  <c r="H18" i="11"/>
  <c r="G18" i="11"/>
  <c r="F18" i="11"/>
  <c r="I18" i="11" s="1"/>
  <c r="E18" i="11"/>
  <c r="J17" i="11"/>
  <c r="H17" i="11"/>
  <c r="G17" i="11"/>
  <c r="F17" i="11"/>
  <c r="I17" i="11" s="1"/>
  <c r="E17" i="11"/>
  <c r="J15" i="11"/>
  <c r="H15" i="11"/>
  <c r="G15" i="11"/>
  <c r="F15" i="11"/>
  <c r="I15" i="11" s="1"/>
  <c r="E15" i="11"/>
  <c r="J14" i="11"/>
  <c r="H14" i="11"/>
  <c r="G14" i="11"/>
  <c r="F14" i="11"/>
  <c r="I14" i="11" s="1"/>
  <c r="E14" i="11"/>
  <c r="J13" i="11"/>
  <c r="H13" i="11"/>
  <c r="G13" i="11"/>
  <c r="F13" i="11"/>
  <c r="I13" i="11" s="1"/>
  <c r="E13" i="11"/>
  <c r="J12" i="11"/>
  <c r="H12" i="11"/>
  <c r="G12" i="11"/>
  <c r="F12" i="11"/>
  <c r="I12" i="11" s="1"/>
  <c r="E12" i="11"/>
  <c r="J11" i="11"/>
  <c r="H11" i="11"/>
  <c r="G11" i="11"/>
  <c r="F11" i="11"/>
  <c r="I11" i="11" s="1"/>
  <c r="E11" i="11"/>
  <c r="J10" i="11"/>
  <c r="H10" i="11"/>
  <c r="G10" i="11"/>
  <c r="F10" i="11"/>
  <c r="I10" i="11" s="1"/>
  <c r="E10" i="11"/>
  <c r="J8" i="11"/>
  <c r="H8" i="11"/>
  <c r="G8" i="11"/>
  <c r="G71" i="11" s="1"/>
  <c r="F8" i="11"/>
  <c r="E8" i="11"/>
  <c r="E71" i="11" s="1"/>
  <c r="J7" i="11"/>
  <c r="H7" i="11"/>
  <c r="G7" i="11"/>
  <c r="G70" i="11" s="1"/>
  <c r="F7" i="11"/>
  <c r="I7" i="11" s="1"/>
  <c r="E7" i="11"/>
  <c r="E70" i="11" s="1"/>
  <c r="J6" i="11"/>
  <c r="H6" i="11"/>
  <c r="G6" i="11"/>
  <c r="G69" i="11" s="1"/>
  <c r="J69" i="11" s="1"/>
  <c r="F6" i="11"/>
  <c r="I52" i="11" s="1"/>
  <c r="E6" i="11"/>
  <c r="E69" i="11" s="1"/>
  <c r="H69" i="11" s="1"/>
  <c r="J5" i="11"/>
  <c r="H5" i="11"/>
  <c r="G5" i="11"/>
  <c r="G68" i="11" s="1"/>
  <c r="J68" i="11" s="1"/>
  <c r="F5" i="11"/>
  <c r="E5" i="11"/>
  <c r="E68" i="11" s="1"/>
  <c r="H68" i="11" s="1"/>
  <c r="J4" i="11"/>
  <c r="H4" i="11"/>
  <c r="G4" i="11"/>
  <c r="G67" i="11" s="1"/>
  <c r="J67" i="11" s="1"/>
  <c r="F4" i="11"/>
  <c r="I4" i="11" s="1"/>
  <c r="E4" i="11"/>
  <c r="E67" i="11" s="1"/>
  <c r="H67" i="11" s="1"/>
  <c r="J3" i="11"/>
  <c r="H3" i="11"/>
  <c r="G3" i="11"/>
  <c r="G66" i="11" s="1"/>
  <c r="J66" i="11" s="1"/>
  <c r="F3" i="11"/>
  <c r="E3" i="11"/>
  <c r="E66" i="11" s="1"/>
  <c r="H66" i="11" s="1"/>
  <c r="F66" i="11" l="1"/>
  <c r="I66" i="11" s="1"/>
  <c r="F38" i="11"/>
  <c r="I38" i="11" s="1"/>
  <c r="F68" i="11"/>
  <c r="I68" i="11" s="1"/>
  <c r="F40" i="11"/>
  <c r="I40" i="11" s="1"/>
  <c r="F71" i="11"/>
  <c r="I71" i="11" s="1"/>
  <c r="F43" i="11"/>
  <c r="I43" i="11" s="1"/>
  <c r="I3" i="11"/>
  <c r="I5" i="11"/>
  <c r="I6" i="11"/>
  <c r="H70" i="11"/>
  <c r="J70" i="11"/>
  <c r="H71" i="11"/>
  <c r="J71" i="11"/>
  <c r="I8" i="11"/>
  <c r="J22" i="11"/>
  <c r="I24" i="11"/>
  <c r="I25" i="11"/>
  <c r="I26" i="11"/>
  <c r="I27" i="11"/>
  <c r="I28" i="11"/>
  <c r="I29" i="11"/>
  <c r="I31" i="11"/>
  <c r="I32" i="11"/>
  <c r="I33" i="11"/>
  <c r="I34" i="11"/>
  <c r="I35" i="11"/>
  <c r="I36" i="11"/>
  <c r="G38" i="11"/>
  <c r="J38" i="11" s="1"/>
  <c r="E39" i="11"/>
  <c r="H39" i="11" s="1"/>
  <c r="G40" i="11"/>
  <c r="J40" i="11" s="1"/>
  <c r="E41" i="11"/>
  <c r="H41" i="11" s="1"/>
  <c r="G42" i="11"/>
  <c r="J42" i="11" s="1"/>
  <c r="E43" i="11"/>
  <c r="H43" i="11" s="1"/>
  <c r="H54" i="11"/>
  <c r="J54" i="11"/>
  <c r="H56" i="11"/>
  <c r="J56" i="11"/>
  <c r="H59" i="11"/>
  <c r="J59" i="11"/>
  <c r="H61" i="11"/>
  <c r="J61" i="11"/>
  <c r="H63" i="11"/>
  <c r="J63" i="11"/>
  <c r="I64" i="11"/>
  <c r="F67" i="11"/>
  <c r="I67" i="11" s="1"/>
  <c r="F39" i="11"/>
  <c r="I39" i="11" s="1"/>
  <c r="F69" i="11"/>
  <c r="I69" i="11" s="1"/>
  <c r="F41" i="11"/>
  <c r="I41" i="11" s="1"/>
  <c r="I62" i="11"/>
  <c r="I61" i="11"/>
  <c r="I60" i="11"/>
  <c r="I59" i="11"/>
  <c r="I57" i="11"/>
  <c r="I56" i="11"/>
  <c r="I55" i="11"/>
  <c r="I54" i="11"/>
  <c r="I53" i="11"/>
  <c r="F70" i="11"/>
  <c r="I70" i="11" s="1"/>
  <c r="F42" i="11"/>
  <c r="I42" i="11" s="1"/>
  <c r="H19" i="11"/>
  <c r="H20" i="11"/>
  <c r="J20" i="11"/>
  <c r="H21" i="11"/>
  <c r="J21" i="11"/>
  <c r="H22" i="11"/>
  <c r="H24" i="11"/>
  <c r="J24" i="11"/>
  <c r="H25" i="11"/>
  <c r="J25" i="11"/>
  <c r="H26" i="11"/>
  <c r="J26" i="11"/>
  <c r="H27" i="11"/>
  <c r="J27" i="11"/>
  <c r="H28" i="11"/>
  <c r="J28" i="11"/>
  <c r="H29" i="11"/>
  <c r="J29" i="11"/>
  <c r="H31" i="11"/>
  <c r="J31" i="11"/>
  <c r="H32" i="11"/>
  <c r="J32" i="11"/>
  <c r="H33" i="11"/>
  <c r="J33" i="11"/>
  <c r="H34" i="11"/>
  <c r="J34" i="11"/>
  <c r="H35" i="11"/>
  <c r="J35" i="11"/>
  <c r="H36" i="11"/>
  <c r="J36" i="11"/>
  <c r="E38" i="11"/>
  <c r="H38" i="11" s="1"/>
  <c r="G39" i="11"/>
  <c r="J39" i="11" s="1"/>
  <c r="E40" i="11"/>
  <c r="H40" i="11" s="1"/>
  <c r="G41" i="11"/>
  <c r="J41" i="11" s="1"/>
  <c r="E42" i="11"/>
  <c r="H42" i="11" s="1"/>
  <c r="G43" i="11"/>
  <c r="J43" i="11" s="1"/>
  <c r="H52" i="11"/>
  <c r="J52" i="11"/>
  <c r="H53" i="11"/>
  <c r="J53" i="11"/>
  <c r="H55" i="11"/>
  <c r="J55" i="11"/>
  <c r="H57" i="11"/>
  <c r="J57" i="11"/>
  <c r="H60" i="11"/>
  <c r="J60" i="11"/>
  <c r="H62" i="11"/>
  <c r="J62" i="11"/>
  <c r="I63" i="11"/>
  <c r="H64" i="11"/>
  <c r="J64" i="11"/>
  <c r="I32" i="10"/>
  <c r="E32" i="10"/>
  <c r="D32" i="10"/>
  <c r="C32" i="10"/>
  <c r="B32" i="10"/>
  <c r="I31" i="10"/>
  <c r="H31" i="10"/>
  <c r="G31" i="10"/>
  <c r="F31" i="10"/>
  <c r="E31" i="10"/>
  <c r="D31" i="10"/>
  <c r="C31" i="10"/>
  <c r="B31" i="10"/>
  <c r="I30" i="10"/>
  <c r="H30" i="10"/>
  <c r="G30" i="10"/>
  <c r="F30" i="10"/>
  <c r="E30" i="10"/>
  <c r="D30" i="10"/>
  <c r="C30" i="10"/>
  <c r="B30" i="10"/>
  <c r="I29" i="10"/>
  <c r="H29" i="10"/>
  <c r="G29" i="10"/>
  <c r="F29" i="10"/>
  <c r="E29" i="10"/>
  <c r="D29" i="10"/>
  <c r="C29" i="10"/>
  <c r="B29" i="10"/>
  <c r="E24" i="10"/>
  <c r="D24" i="10"/>
  <c r="C24" i="10"/>
  <c r="B24" i="10"/>
  <c r="E23" i="10"/>
  <c r="D23" i="10"/>
  <c r="C23" i="10"/>
  <c r="B23" i="10"/>
  <c r="E22" i="10"/>
  <c r="D22" i="10"/>
  <c r="C22" i="10"/>
  <c r="B22" i="10"/>
  <c r="E21" i="10"/>
  <c r="D21" i="10"/>
  <c r="C21" i="10"/>
  <c r="B21" i="10"/>
  <c r="AD16" i="10"/>
  <c r="Z16" i="10"/>
  <c r="O16" i="10"/>
  <c r="N16" i="10"/>
  <c r="M16" i="10"/>
  <c r="L16" i="10"/>
  <c r="K16" i="10"/>
  <c r="J16" i="10"/>
  <c r="I16" i="10"/>
  <c r="G16" i="10"/>
  <c r="E16" i="10"/>
  <c r="D16" i="10"/>
  <c r="C16" i="10"/>
  <c r="B16" i="10"/>
  <c r="W15" i="10"/>
  <c r="V15" i="10"/>
  <c r="U15" i="10"/>
  <c r="T15" i="10"/>
  <c r="S15" i="10"/>
  <c r="AD15" i="10" s="1"/>
  <c r="R15" i="10"/>
  <c r="Q15" i="10"/>
  <c r="P15" i="10"/>
  <c r="O15" i="10"/>
  <c r="N15" i="10"/>
  <c r="M15" i="10"/>
  <c r="L15" i="10"/>
  <c r="K15" i="10"/>
  <c r="J15" i="10"/>
  <c r="I15" i="10"/>
  <c r="G15" i="10"/>
  <c r="E15" i="10"/>
  <c r="D15" i="10"/>
  <c r="AE15" i="10" s="1"/>
  <c r="C15" i="10"/>
  <c r="B15" i="10"/>
  <c r="AB15" i="10" s="1"/>
  <c r="W14" i="10"/>
  <c r="V14" i="10"/>
  <c r="U14" i="10"/>
  <c r="T14" i="10"/>
  <c r="S14" i="10"/>
  <c r="AD14" i="10" s="1"/>
  <c r="R14" i="10"/>
  <c r="Q14" i="10"/>
  <c r="P14" i="10"/>
  <c r="O14" i="10"/>
  <c r="N14" i="10"/>
  <c r="M14" i="10"/>
  <c r="L14" i="10"/>
  <c r="K14" i="10"/>
  <c r="J14" i="10"/>
  <c r="I14" i="10"/>
  <c r="G14" i="10"/>
  <c r="E14" i="10"/>
  <c r="D14" i="10"/>
  <c r="C14" i="10"/>
  <c r="B14" i="10"/>
  <c r="W13" i="10"/>
  <c r="V13" i="10"/>
  <c r="U13" i="10"/>
  <c r="T13" i="10"/>
  <c r="S13" i="10"/>
  <c r="AD13" i="10" s="1"/>
  <c r="R13" i="10"/>
  <c r="Q13" i="10"/>
  <c r="P13" i="10"/>
  <c r="O13" i="10"/>
  <c r="N13" i="10"/>
  <c r="M13" i="10"/>
  <c r="L13" i="10"/>
  <c r="K13" i="10"/>
  <c r="J13" i="10"/>
  <c r="I13" i="10"/>
  <c r="G13" i="10"/>
  <c r="E13" i="10"/>
  <c r="D13" i="10"/>
  <c r="C13" i="10"/>
  <c r="B13" i="10"/>
  <c r="E32" i="9"/>
  <c r="D32" i="9"/>
  <c r="C32" i="9"/>
  <c r="B32" i="9"/>
  <c r="K32" i="9" s="1"/>
  <c r="I31" i="9"/>
  <c r="H31" i="9"/>
  <c r="G31" i="9"/>
  <c r="F31" i="9"/>
  <c r="E31" i="9"/>
  <c r="D31" i="9"/>
  <c r="C31" i="9"/>
  <c r="B31" i="9"/>
  <c r="K31" i="9" s="1"/>
  <c r="I30" i="9"/>
  <c r="H30" i="9"/>
  <c r="G30" i="9"/>
  <c r="F30" i="9"/>
  <c r="E30" i="9"/>
  <c r="D30" i="9"/>
  <c r="C30" i="9"/>
  <c r="B30" i="9"/>
  <c r="K30" i="9" s="1"/>
  <c r="I29" i="9"/>
  <c r="H29" i="9"/>
  <c r="G29" i="9"/>
  <c r="F29" i="9"/>
  <c r="E29" i="9"/>
  <c r="D29" i="9"/>
  <c r="C29" i="9"/>
  <c r="B29" i="9"/>
  <c r="K29" i="9" s="1"/>
  <c r="D24" i="9"/>
  <c r="C24" i="9"/>
  <c r="B24" i="9"/>
  <c r="D23" i="9"/>
  <c r="C23" i="9"/>
  <c r="B23" i="9"/>
  <c r="F23" i="9" s="1"/>
  <c r="D22" i="9"/>
  <c r="C22" i="9"/>
  <c r="B22" i="9"/>
  <c r="D21" i="9"/>
  <c r="C21" i="9"/>
  <c r="B21" i="9"/>
  <c r="F21" i="9" s="1"/>
  <c r="X16" i="9"/>
  <c r="T16" i="9"/>
  <c r="I16" i="9"/>
  <c r="Y16" i="9" s="1"/>
  <c r="H16" i="9"/>
  <c r="G16" i="9"/>
  <c r="F16" i="9"/>
  <c r="D16" i="9"/>
  <c r="S16" i="9" s="1"/>
  <c r="B16" i="9"/>
  <c r="R16" i="9" s="1"/>
  <c r="Q15" i="9"/>
  <c r="P15" i="9"/>
  <c r="O15" i="9"/>
  <c r="N15" i="9"/>
  <c r="M15" i="9"/>
  <c r="X15" i="9" s="1"/>
  <c r="L15" i="9"/>
  <c r="J15" i="9"/>
  <c r="I15" i="9"/>
  <c r="H15" i="9"/>
  <c r="G15" i="9"/>
  <c r="F15" i="9"/>
  <c r="D15" i="9"/>
  <c r="B15" i="9"/>
  <c r="Q14" i="9"/>
  <c r="P14" i="9"/>
  <c r="O14" i="9"/>
  <c r="N14" i="9"/>
  <c r="M14" i="9"/>
  <c r="X14" i="9" s="1"/>
  <c r="L14" i="9"/>
  <c r="J14" i="9"/>
  <c r="I14" i="9"/>
  <c r="H14" i="9"/>
  <c r="G14" i="9"/>
  <c r="F14" i="9"/>
  <c r="D14" i="9"/>
  <c r="W14" i="9" s="1"/>
  <c r="B14" i="9"/>
  <c r="Q13" i="9"/>
  <c r="P13" i="9"/>
  <c r="O13" i="9"/>
  <c r="N13" i="9"/>
  <c r="M13" i="9"/>
  <c r="X13" i="9" s="1"/>
  <c r="L13" i="9"/>
  <c r="J13" i="9"/>
  <c r="I13" i="9"/>
  <c r="H13" i="9"/>
  <c r="G13" i="9"/>
  <c r="F13" i="9"/>
  <c r="D13" i="9"/>
  <c r="B13" i="9"/>
  <c r="V13" i="9" s="1"/>
  <c r="Z15" i="10" l="1"/>
  <c r="X13" i="10"/>
  <c r="AE13" i="10"/>
  <c r="Z13" i="10"/>
  <c r="X14" i="10"/>
  <c r="AE14" i="10"/>
  <c r="Z14" i="10"/>
  <c r="AB16" i="10"/>
  <c r="AE16" i="10"/>
  <c r="G21" i="10"/>
  <c r="F22" i="10"/>
  <c r="G23" i="10"/>
  <c r="F24" i="10"/>
  <c r="J29" i="10"/>
  <c r="J30" i="10"/>
  <c r="J31" i="10"/>
  <c r="K32" i="10"/>
  <c r="AC13" i="10"/>
  <c r="AC14" i="10"/>
  <c r="AC15" i="10"/>
  <c r="AC16" i="10"/>
  <c r="AB13" i="10"/>
  <c r="AB14" i="10"/>
  <c r="X16" i="10"/>
  <c r="F21" i="10"/>
  <c r="F23" i="10"/>
  <c r="Y13" i="10"/>
  <c r="AA13" i="10"/>
  <c r="Y14" i="10"/>
  <c r="AA14" i="10"/>
  <c r="Y15" i="10"/>
  <c r="AA15" i="10"/>
  <c r="Y16" i="10"/>
  <c r="AA16" i="10"/>
  <c r="G22" i="10"/>
  <c r="G24" i="10"/>
  <c r="K29" i="10"/>
  <c r="K30" i="10"/>
  <c r="K31" i="10"/>
  <c r="J32" i="10"/>
  <c r="X15" i="10"/>
  <c r="Y14" i="9"/>
  <c r="S13" i="9"/>
  <c r="V15" i="9"/>
  <c r="S15" i="9"/>
  <c r="W16" i="9"/>
  <c r="W13" i="9"/>
  <c r="Y13" i="9"/>
  <c r="V14" i="9"/>
  <c r="S14" i="9"/>
  <c r="W15" i="9"/>
  <c r="Y15" i="9"/>
  <c r="E21" i="9"/>
  <c r="F22" i="9"/>
  <c r="E23" i="9"/>
  <c r="F24" i="9"/>
  <c r="R13" i="9"/>
  <c r="T13" i="9"/>
  <c r="R14" i="9"/>
  <c r="T14" i="9"/>
  <c r="R15" i="9"/>
  <c r="T15" i="9"/>
  <c r="V16" i="9"/>
  <c r="E22" i="9"/>
  <c r="E24" i="9"/>
  <c r="J29" i="9"/>
  <c r="J30" i="9"/>
  <c r="J31" i="9"/>
  <c r="J32" i="9"/>
  <c r="C47" i="7" l="1"/>
  <c r="C46" i="7"/>
  <c r="C45" i="7"/>
  <c r="C44" i="7"/>
  <c r="P30" i="7"/>
  <c r="S26" i="7"/>
  <c r="S33" i="7" s="1"/>
  <c r="R26" i="7"/>
  <c r="R33" i="7" s="1"/>
  <c r="Q26" i="7"/>
  <c r="P26" i="7"/>
  <c r="P33" i="7" s="1"/>
  <c r="L26" i="7"/>
  <c r="K26" i="7"/>
  <c r="J26" i="7"/>
  <c r="E26" i="7"/>
  <c r="D26" i="7"/>
  <c r="C26" i="7"/>
  <c r="S25" i="7"/>
  <c r="S32" i="7" s="1"/>
  <c r="R25" i="7"/>
  <c r="R32" i="7" s="1"/>
  <c r="Q25" i="7"/>
  <c r="P25" i="7"/>
  <c r="P32" i="7" s="1"/>
  <c r="L25" i="7"/>
  <c r="K25" i="7"/>
  <c r="J25" i="7"/>
  <c r="E25" i="7"/>
  <c r="D25" i="7"/>
  <c r="C25" i="7"/>
  <c r="S24" i="7"/>
  <c r="S31" i="7" s="1"/>
  <c r="R24" i="7"/>
  <c r="R31" i="7" s="1"/>
  <c r="Q24" i="7"/>
  <c r="P24" i="7"/>
  <c r="P31" i="7" s="1"/>
  <c r="L24" i="7"/>
  <c r="K24" i="7"/>
  <c r="J24" i="7"/>
  <c r="E24" i="7"/>
  <c r="D24" i="7"/>
  <c r="C24" i="7"/>
  <c r="S23" i="7"/>
  <c r="S30" i="7" s="1"/>
  <c r="R23" i="7"/>
  <c r="R30" i="7" s="1"/>
  <c r="L23" i="7"/>
  <c r="K23" i="7"/>
  <c r="J23" i="7"/>
  <c r="E23" i="7"/>
  <c r="D23" i="7"/>
  <c r="C23" i="7"/>
  <c r="T19" i="7"/>
  <c r="T33" i="7" s="1"/>
  <c r="Q40" i="7" s="1"/>
  <c r="Q19" i="7"/>
  <c r="M19" i="7"/>
  <c r="M33" i="7" s="1"/>
  <c r="J40" i="7" s="1"/>
  <c r="L19" i="7"/>
  <c r="K19" i="7"/>
  <c r="J19" i="7"/>
  <c r="F19" i="7"/>
  <c r="E19" i="7"/>
  <c r="D19" i="7"/>
  <c r="C19" i="7"/>
  <c r="T18" i="7"/>
  <c r="T32" i="7" s="1"/>
  <c r="Q39" i="7" s="1"/>
  <c r="Q18" i="7"/>
  <c r="M18" i="7"/>
  <c r="M32" i="7" s="1"/>
  <c r="J39" i="7" s="1"/>
  <c r="L18" i="7"/>
  <c r="K18" i="7"/>
  <c r="J18" i="7"/>
  <c r="F18" i="7"/>
  <c r="E18" i="7"/>
  <c r="D18" i="7"/>
  <c r="C18" i="7"/>
  <c r="T17" i="7"/>
  <c r="T31" i="7" s="1"/>
  <c r="Q38" i="7" s="1"/>
  <c r="Q17" i="7"/>
  <c r="M17" i="7"/>
  <c r="M31" i="7" s="1"/>
  <c r="J38" i="7" s="1"/>
  <c r="L17" i="7"/>
  <c r="K17" i="7"/>
  <c r="J17" i="7"/>
  <c r="F17" i="7"/>
  <c r="E17" i="7"/>
  <c r="D17" i="7"/>
  <c r="C17" i="7"/>
  <c r="T16" i="7"/>
  <c r="T30" i="7" s="1"/>
  <c r="Q37" i="7" s="1"/>
  <c r="Q16" i="7"/>
  <c r="M16" i="7"/>
  <c r="M30" i="7" s="1"/>
  <c r="J37" i="7" s="1"/>
  <c r="L16" i="7"/>
  <c r="K16" i="7"/>
  <c r="J16" i="7"/>
  <c r="F16" i="7"/>
  <c r="E16" i="7"/>
  <c r="D16" i="7"/>
  <c r="C16" i="7"/>
  <c r="Q12" i="7"/>
  <c r="K12" i="7"/>
  <c r="F12" i="7"/>
  <c r="F33" i="7" s="1"/>
  <c r="C40" i="7" s="1"/>
  <c r="Q11" i="7"/>
  <c r="K11" i="7"/>
  <c r="F11" i="7"/>
  <c r="Q10" i="7"/>
  <c r="K10" i="7"/>
  <c r="F10" i="7"/>
  <c r="Q9" i="7"/>
  <c r="K9" i="7"/>
  <c r="F9" i="7"/>
  <c r="F30" i="7" s="1"/>
  <c r="C37" i="7" s="1"/>
  <c r="H5" i="7"/>
  <c r="B54" i="7" s="1"/>
  <c r="H4" i="7"/>
  <c r="L11" i="7" s="1"/>
  <c r="L32" i="7" s="1"/>
  <c r="H3" i="7"/>
  <c r="B52" i="7" s="1"/>
  <c r="H2" i="7"/>
  <c r="L9" i="7" s="1"/>
  <c r="L30" i="7" s="1"/>
  <c r="D11" i="7" l="1"/>
  <c r="D32" i="7" s="1"/>
  <c r="J11" i="7"/>
  <c r="J32" i="7" s="1"/>
  <c r="K30" i="7"/>
  <c r="F31" i="7"/>
  <c r="C38" i="7" s="1"/>
  <c r="F32" i="7"/>
  <c r="C39" i="7" s="1"/>
  <c r="K32" i="7"/>
  <c r="Q31" i="7"/>
  <c r="D10" i="7"/>
  <c r="D31" i="7" s="1"/>
  <c r="J10" i="7"/>
  <c r="J31" i="7" s="1"/>
  <c r="L10" i="7"/>
  <c r="L31" i="7" s="1"/>
  <c r="B12" i="7"/>
  <c r="B19" i="7"/>
  <c r="D9" i="7"/>
  <c r="D30" i="7" s="1"/>
  <c r="J9" i="7"/>
  <c r="J30" i="7" s="1"/>
  <c r="B10" i="7"/>
  <c r="D12" i="7"/>
  <c r="J12" i="7"/>
  <c r="J33" i="7" s="1"/>
  <c r="L12" i="7"/>
  <c r="L33" i="7" s="1"/>
  <c r="B17" i="7"/>
  <c r="Q33" i="7"/>
  <c r="P40" i="7" s="1"/>
  <c r="B24" i="7"/>
  <c r="I24" i="7"/>
  <c r="K31" i="7"/>
  <c r="B26" i="7"/>
  <c r="I26" i="7"/>
  <c r="K33" i="7"/>
  <c r="B45" i="7"/>
  <c r="D45" i="7"/>
  <c r="B47" i="7"/>
  <c r="D47" i="7"/>
  <c r="C51" i="7"/>
  <c r="I16" i="7"/>
  <c r="I9" i="7"/>
  <c r="E9" i="7"/>
  <c r="E30" i="7" s="1"/>
  <c r="C9" i="7"/>
  <c r="C30" i="7" s="1"/>
  <c r="B51" i="7"/>
  <c r="D44" i="7"/>
  <c r="B44" i="7"/>
  <c r="C53" i="7"/>
  <c r="I18" i="7"/>
  <c r="I11" i="7"/>
  <c r="E11" i="7"/>
  <c r="E32" i="7" s="1"/>
  <c r="C11" i="7"/>
  <c r="C32" i="7" s="1"/>
  <c r="I25" i="7"/>
  <c r="B53" i="7"/>
  <c r="D53" i="7" s="1"/>
  <c r="D46" i="7"/>
  <c r="B46" i="7"/>
  <c r="B9" i="7"/>
  <c r="Q30" i="7"/>
  <c r="P37" i="7" s="1"/>
  <c r="B11" i="7"/>
  <c r="Q32" i="7"/>
  <c r="P39" i="7" s="1"/>
  <c r="D33" i="7"/>
  <c r="B16" i="7"/>
  <c r="B18" i="7"/>
  <c r="B23" i="7"/>
  <c r="I23" i="7"/>
  <c r="P38" i="7"/>
  <c r="B25" i="7"/>
  <c r="C52" i="7"/>
  <c r="D52" i="7" s="1"/>
  <c r="C54" i="7"/>
  <c r="D54" i="7" s="1"/>
  <c r="C10" i="7"/>
  <c r="C31" i="7" s="1"/>
  <c r="E10" i="7"/>
  <c r="E31" i="7" s="1"/>
  <c r="I10" i="7"/>
  <c r="C12" i="7"/>
  <c r="C33" i="7" s="1"/>
  <c r="E12" i="7"/>
  <c r="E33" i="7" s="1"/>
  <c r="I12" i="7"/>
  <c r="I17" i="7"/>
  <c r="I19" i="7"/>
  <c r="B33" i="7" l="1"/>
  <c r="B31" i="7"/>
  <c r="B38" i="7" s="1"/>
  <c r="B40" i="7"/>
  <c r="E44" i="7"/>
  <c r="D51" i="7"/>
  <c r="E47" i="7"/>
  <c r="E45" i="7"/>
  <c r="I33" i="7"/>
  <c r="I40" i="7" s="1"/>
  <c r="B30" i="7"/>
  <c r="B37" i="7" s="1"/>
  <c r="I31" i="7"/>
  <c r="I38" i="7" s="1"/>
  <c r="B32" i="7"/>
  <c r="B39" i="7" s="1"/>
  <c r="E46" i="7"/>
  <c r="I32" i="7"/>
  <c r="I39" i="7" s="1"/>
  <c r="I30" i="7"/>
  <c r="I37" i="7" s="1"/>
  <c r="G7" i="6"/>
  <c r="D26" i="6" s="1"/>
  <c r="F7" i="6"/>
  <c r="D20" i="6" s="1"/>
  <c r="E7" i="6"/>
  <c r="D7" i="6"/>
  <c r="G6" i="6"/>
  <c r="F13" i="6" s="1"/>
  <c r="F6" i="6"/>
  <c r="E6" i="6"/>
  <c r="D6" i="6"/>
  <c r="G5" i="6"/>
  <c r="D24" i="6" s="1"/>
  <c r="F5" i="6"/>
  <c r="D18" i="6" s="1"/>
  <c r="E5" i="6"/>
  <c r="D5" i="6"/>
  <c r="D27" i="5"/>
  <c r="C27" i="5"/>
  <c r="B27" i="5"/>
  <c r="D26" i="5"/>
  <c r="C26" i="5"/>
  <c r="B26" i="5"/>
  <c r="D25" i="5"/>
  <c r="C25" i="5"/>
  <c r="B25" i="5"/>
  <c r="D24" i="5"/>
  <c r="C24" i="5"/>
  <c r="B24" i="5"/>
  <c r="L12" i="5"/>
  <c r="L11" i="5"/>
  <c r="L10" i="5"/>
  <c r="L9" i="5"/>
  <c r="K17" i="5" l="1"/>
  <c r="L17" i="5"/>
  <c r="B24" i="6"/>
  <c r="B19" i="6"/>
  <c r="C25" i="6"/>
  <c r="B26" i="6"/>
  <c r="D33" i="5"/>
  <c r="B33" i="5"/>
  <c r="E33" i="5"/>
  <c r="C33" i="5"/>
  <c r="E26" i="5"/>
  <c r="F26" i="5" s="1"/>
  <c r="D32" i="5"/>
  <c r="B32" i="5"/>
  <c r="E32" i="5"/>
  <c r="C32" i="5"/>
  <c r="E25" i="5"/>
  <c r="F25" i="5" s="1"/>
  <c r="D34" i="5"/>
  <c r="B34" i="5"/>
  <c r="E34" i="5"/>
  <c r="C34" i="5"/>
  <c r="E27" i="5"/>
  <c r="F27" i="5" s="1"/>
  <c r="C17" i="5"/>
  <c r="E17" i="5"/>
  <c r="G17" i="5"/>
  <c r="I17" i="5"/>
  <c r="B18" i="5"/>
  <c r="D18" i="5"/>
  <c r="M18" i="5" s="1"/>
  <c r="F18" i="5"/>
  <c r="H18" i="5"/>
  <c r="J18" i="5"/>
  <c r="L18" i="5"/>
  <c r="C19" i="5"/>
  <c r="E19" i="5"/>
  <c r="G19" i="5"/>
  <c r="I19" i="5"/>
  <c r="K19" i="5"/>
  <c r="B20" i="5"/>
  <c r="D20" i="5"/>
  <c r="M20" i="5" s="1"/>
  <c r="F20" i="5"/>
  <c r="H20" i="5"/>
  <c r="J20" i="5"/>
  <c r="L20" i="5"/>
  <c r="D31" i="5"/>
  <c r="B31" i="5"/>
  <c r="E31" i="5"/>
  <c r="C31" i="5"/>
  <c r="E24" i="5"/>
  <c r="F24" i="5" s="1"/>
  <c r="B17" i="5"/>
  <c r="D17" i="5"/>
  <c r="M17" i="5" s="1"/>
  <c r="F17" i="5"/>
  <c r="H17" i="5"/>
  <c r="J17" i="5"/>
  <c r="C18" i="5"/>
  <c r="E18" i="5"/>
  <c r="G18" i="5"/>
  <c r="I18" i="5"/>
  <c r="K18" i="5"/>
  <c r="B19" i="5"/>
  <c r="D19" i="5"/>
  <c r="M19" i="5" s="1"/>
  <c r="F19" i="5"/>
  <c r="H19" i="5"/>
  <c r="J19" i="5"/>
  <c r="L19" i="5"/>
  <c r="C20" i="5"/>
  <c r="E20" i="5"/>
  <c r="G20" i="5"/>
  <c r="I20" i="5"/>
  <c r="K20" i="5"/>
  <c r="C12" i="6"/>
  <c r="I12" i="6" s="1"/>
  <c r="E12" i="6"/>
  <c r="C13" i="6"/>
  <c r="I13" i="6" s="1"/>
  <c r="E13" i="6"/>
  <c r="C14" i="6"/>
  <c r="I14" i="6" s="1"/>
  <c r="E14" i="6"/>
  <c r="C18" i="6"/>
  <c r="E18" i="6"/>
  <c r="C19" i="6"/>
  <c r="E19" i="6"/>
  <c r="C20" i="6"/>
  <c r="E20" i="6"/>
  <c r="C24" i="6"/>
  <c r="E24" i="6" s="1"/>
  <c r="B25" i="6"/>
  <c r="D25" i="6"/>
  <c r="C26" i="6"/>
  <c r="E26" i="6" s="1"/>
  <c r="B12" i="6"/>
  <c r="D12" i="6"/>
  <c r="G12" i="6" s="1"/>
  <c r="F12" i="6"/>
  <c r="B13" i="6"/>
  <c r="D13" i="6"/>
  <c r="G13" i="6" s="1"/>
  <c r="B14" i="6"/>
  <c r="D14" i="6"/>
  <c r="G14" i="6" s="1"/>
  <c r="F14" i="6"/>
  <c r="B18" i="6"/>
  <c r="D19" i="6"/>
  <c r="B20" i="6"/>
  <c r="H13" i="6" l="1"/>
  <c r="H12" i="6"/>
  <c r="F19" i="6"/>
  <c r="N20" i="5"/>
  <c r="Q17" i="5"/>
  <c r="F31" i="5"/>
  <c r="F32" i="5"/>
  <c r="N18" i="5"/>
  <c r="F20" i="6"/>
  <c r="F18" i="6"/>
  <c r="H14" i="6"/>
  <c r="E25" i="6"/>
  <c r="O20" i="5"/>
  <c r="Q19" i="5"/>
  <c r="P19" i="5"/>
  <c r="Q20" i="5"/>
  <c r="P20" i="5"/>
  <c r="N19" i="5"/>
  <c r="N17" i="5"/>
  <c r="F34" i="5"/>
  <c r="F33" i="5"/>
  <c r="O18" i="5"/>
  <c r="P17" i="5"/>
  <c r="O19" i="5"/>
  <c r="Q18" i="5"/>
  <c r="P18" i="5"/>
  <c r="O17" i="5"/>
  <c r="F64" i="4" l="1"/>
  <c r="E64" i="4"/>
  <c r="D64" i="4"/>
  <c r="F63" i="4"/>
  <c r="E63" i="4"/>
  <c r="D63" i="4"/>
  <c r="AC62" i="4"/>
  <c r="AB62" i="4"/>
  <c r="AA62" i="4"/>
  <c r="F62" i="4"/>
  <c r="E62" i="4"/>
  <c r="D62" i="4"/>
  <c r="T52" i="4"/>
  <c r="S52" i="4"/>
  <c r="F52" i="4"/>
  <c r="E52" i="4"/>
  <c r="D52" i="4"/>
  <c r="AB51" i="4"/>
  <c r="AA51" i="4"/>
  <c r="T51" i="4"/>
  <c r="S51" i="4"/>
  <c r="F51" i="4"/>
  <c r="E51" i="4"/>
  <c r="D51" i="4"/>
  <c r="T39" i="4"/>
  <c r="S39" i="4"/>
  <c r="F39" i="4"/>
  <c r="E39" i="4"/>
  <c r="D39" i="4"/>
  <c r="AC38" i="4"/>
  <c r="AB38" i="4"/>
  <c r="AA38" i="4"/>
  <c r="T38" i="4"/>
  <c r="S38" i="4"/>
  <c r="F38" i="4"/>
  <c r="E38" i="4"/>
  <c r="D38" i="4"/>
  <c r="T27" i="4"/>
  <c r="S27" i="4"/>
  <c r="F27" i="4"/>
  <c r="E27" i="4"/>
  <c r="D27" i="4"/>
  <c r="AC26" i="4"/>
  <c r="AB26" i="4"/>
  <c r="AA26" i="4"/>
  <c r="T26" i="4"/>
  <c r="S26" i="4"/>
  <c r="F26" i="4"/>
  <c r="E26" i="4"/>
  <c r="D26" i="4"/>
  <c r="T13" i="4"/>
  <c r="S13" i="4"/>
  <c r="F13" i="4"/>
  <c r="E13" i="4"/>
  <c r="D13" i="4"/>
  <c r="AC12" i="4"/>
  <c r="AB12" i="4"/>
  <c r="AA12" i="4"/>
  <c r="T12" i="4"/>
  <c r="S12" i="4"/>
  <c r="F12" i="4"/>
  <c r="E12" i="4"/>
  <c r="D12" i="4"/>
  <c r="AB5" i="4"/>
  <c r="AB4" i="4"/>
  <c r="AD62" i="4" s="1"/>
  <c r="N12" i="4" l="1"/>
  <c r="K26" i="4"/>
  <c r="O26" i="4"/>
  <c r="M27" i="4"/>
  <c r="N38" i="4"/>
  <c r="K51" i="4"/>
  <c r="O51" i="4"/>
  <c r="H52" i="4"/>
  <c r="H62" i="4"/>
  <c r="O62" i="4"/>
  <c r="O67" i="4" s="1"/>
  <c r="P26" i="4"/>
  <c r="P51" i="4"/>
  <c r="O12" i="4"/>
  <c r="O38" i="4"/>
  <c r="O43" i="4" s="1"/>
  <c r="L62" i="4"/>
  <c r="P12" i="4"/>
  <c r="P38" i="4"/>
  <c r="P62" i="4"/>
  <c r="P67" i="4" s="1"/>
  <c r="P43" i="4"/>
  <c r="M12" i="4"/>
  <c r="I26" i="4"/>
  <c r="AD26" i="4"/>
  <c r="P31" i="4" s="1"/>
  <c r="M38" i="4"/>
  <c r="I51" i="4"/>
  <c r="L52" i="4"/>
  <c r="K12" i="4"/>
  <c r="I12" i="4"/>
  <c r="AD12" i="4"/>
  <c r="P17" i="4" s="1"/>
  <c r="M13" i="4"/>
  <c r="N26" i="4"/>
  <c r="M26" i="4"/>
  <c r="K38" i="4"/>
  <c r="I38" i="4"/>
  <c r="AD38" i="4"/>
  <c r="M39" i="4"/>
  <c r="N51" i="4"/>
  <c r="M51" i="4"/>
  <c r="M64" i="4"/>
  <c r="G13" i="4"/>
  <c r="K13" i="4"/>
  <c r="G27" i="4"/>
  <c r="K27" i="4"/>
  <c r="G39" i="4"/>
  <c r="K39" i="4"/>
  <c r="M63" i="4"/>
  <c r="K63" i="4"/>
  <c r="I63" i="4"/>
  <c r="G63" i="4"/>
  <c r="N63" i="4"/>
  <c r="G64" i="4"/>
  <c r="K64" i="4"/>
  <c r="G12" i="4"/>
  <c r="G17" i="4" s="1"/>
  <c r="O17" i="4"/>
  <c r="N13" i="4"/>
  <c r="N17" i="4" s="1"/>
  <c r="I13" i="4"/>
  <c r="I17" i="4" s="1"/>
  <c r="G26" i="4"/>
  <c r="O31" i="4"/>
  <c r="N27" i="4"/>
  <c r="I27" i="4"/>
  <c r="I31" i="4" s="1"/>
  <c r="G38" i="4"/>
  <c r="N39" i="4"/>
  <c r="N43" i="4" s="1"/>
  <c r="I39" i="4"/>
  <c r="I43" i="4" s="1"/>
  <c r="G51" i="4"/>
  <c r="O56" i="4"/>
  <c r="M52" i="4"/>
  <c r="M56" i="4" s="1"/>
  <c r="K52" i="4"/>
  <c r="I52" i="4"/>
  <c r="G52" i="4"/>
  <c r="N52" i="4"/>
  <c r="M62" i="4"/>
  <c r="K62" i="4"/>
  <c r="I62" i="4"/>
  <c r="G62" i="4"/>
  <c r="N62" i="4"/>
  <c r="H63" i="4"/>
  <c r="L63" i="4"/>
  <c r="N64" i="4"/>
  <c r="I64" i="4"/>
  <c r="H12" i="4"/>
  <c r="L12" i="4"/>
  <c r="H13" i="4"/>
  <c r="L13" i="4"/>
  <c r="H26" i="4"/>
  <c r="L26" i="4"/>
  <c r="H27" i="4"/>
  <c r="L27" i="4"/>
  <c r="H38" i="4"/>
  <c r="L38" i="4"/>
  <c r="H39" i="4"/>
  <c r="L39" i="4"/>
  <c r="H51" i="4"/>
  <c r="L51" i="4"/>
  <c r="L56" i="4" s="1"/>
  <c r="AD51" i="4"/>
  <c r="H64" i="4"/>
  <c r="L64" i="4"/>
  <c r="H56" i="4" l="1"/>
  <c r="K67" i="4"/>
  <c r="K56" i="4"/>
  <c r="N31" i="4"/>
  <c r="P56" i="4"/>
  <c r="M67" i="4"/>
  <c r="I56" i="4"/>
  <c r="K43" i="4"/>
  <c r="K31" i="4"/>
  <c r="K17" i="4"/>
  <c r="M31" i="4"/>
  <c r="L67" i="4"/>
  <c r="L43" i="4"/>
  <c r="H43" i="4"/>
  <c r="L31" i="4"/>
  <c r="H31" i="4"/>
  <c r="L17" i="4"/>
  <c r="H17" i="4"/>
  <c r="G67" i="4"/>
  <c r="N56" i="4"/>
  <c r="M17" i="4"/>
  <c r="M43" i="4"/>
  <c r="H67" i="4"/>
  <c r="G43" i="4"/>
  <c r="N67" i="4"/>
  <c r="I67" i="4"/>
  <c r="G56" i="4"/>
  <c r="G31" i="4"/>
</calcChain>
</file>

<file path=xl/comments1.xml><?xml version="1.0" encoding="utf-8"?>
<comments xmlns="http://schemas.openxmlformats.org/spreadsheetml/2006/main">
  <authors>
    <author>cfchen</author>
  </authors>
  <commentList>
    <comment ref="A1" authorId="0" shapeId="0">
      <text>
        <r>
          <rPr>
            <b/>
            <sz val="9"/>
            <color indexed="81"/>
            <rFont val="Tahoma"/>
            <family val="2"/>
          </rPr>
          <t>cfchen:</t>
        </r>
        <r>
          <rPr>
            <sz val="9"/>
            <color indexed="81"/>
            <rFont val="Tahoma"/>
            <family val="2"/>
          </rPr>
          <t xml:space="preserve">
Mandates:
The following compleixty metrics should be analyzed at different data granlarities
1. number of operations
2. potentials for parallelism
3. data transfer rate
4. data storage 
Some data granularities would be considered as the case studies first. For example,
A. Small data granularity:
3DV-ATM: one block which could be 4x4, 8x8, and 16x16 (Consider the square block first)
3DV-HTM: one coding unit which could be 8x8, 16x16, 32x32, and 64x64 (Consider the square block first)
B. Large data granularity:
3DV-ATM: picture or slice (picture: one picture; slice: one MB row is one slice)
3DV-HTM: picture or slice or tile (picture: one picture; slice: one LCU row is one slice; tile: four tiles in one picture)
</t>
        </r>
      </text>
    </comment>
    <comment ref="Q10" authorId="0" shapeId="0">
      <text>
        <r>
          <rPr>
            <b/>
            <sz val="9"/>
            <color indexed="81"/>
            <rFont val="Tahoma"/>
            <family val="2"/>
          </rPr>
          <t>cfchen:</t>
        </r>
        <r>
          <rPr>
            <sz val="9"/>
            <color indexed="81"/>
            <rFont val="Tahoma"/>
            <family val="2"/>
          </rPr>
          <t xml:space="preserve">
Might use DoNBDV to locate the corresponding block</t>
        </r>
      </text>
    </comment>
  </commentList>
</comments>
</file>

<file path=xl/comments2.xml><?xml version="1.0" encoding="utf-8"?>
<comments xmlns="http://schemas.openxmlformats.org/spreadsheetml/2006/main">
  <authors>
    <author>cfchen</author>
  </authors>
  <commentList>
    <comment ref="O12" authorId="0" shapeId="0">
      <text>
        <r>
          <rPr>
            <b/>
            <sz val="9"/>
            <color indexed="81"/>
            <rFont val="Tahoma"/>
            <family val="2"/>
          </rPr>
          <t>cfchen:</t>
        </r>
        <r>
          <rPr>
            <sz val="9"/>
            <color indexed="81"/>
            <rFont val="Tahoma"/>
            <family val="2"/>
          </rPr>
          <t xml:space="preserve">
number of reference pixels should be fetched</t>
        </r>
      </text>
    </comment>
    <comment ref="P12" authorId="0" shapeId="0">
      <text>
        <r>
          <rPr>
            <b/>
            <sz val="9"/>
            <color indexed="81"/>
            <rFont val="Tahoma"/>
            <family val="2"/>
          </rPr>
          <t>cfchen:</t>
        </r>
        <r>
          <rPr>
            <sz val="9"/>
            <color indexed="81"/>
            <rFont val="Tahoma"/>
            <family val="2"/>
          </rPr>
          <t xml:space="preserve">
reference pixels and compensted block</t>
        </r>
      </text>
    </comment>
    <comment ref="AC51" authorId="0" shapeId="0">
      <text>
        <r>
          <rPr>
            <b/>
            <sz val="9"/>
            <color indexed="81"/>
            <rFont val="Tahoma"/>
            <family val="2"/>
          </rPr>
          <t>cfchen:</t>
        </r>
        <r>
          <rPr>
            <sz val="9"/>
            <color indexed="81"/>
            <rFont val="Tahoma"/>
            <family val="2"/>
          </rPr>
          <t xml:space="preserve">
To be refined to the exact residual data size</t>
        </r>
      </text>
    </comment>
  </commentList>
</comments>
</file>

<file path=xl/sharedStrings.xml><?xml version="1.0" encoding="utf-8"?>
<sst xmlns="http://schemas.openxmlformats.org/spreadsheetml/2006/main" count="1562" uniqueCount="493">
  <si>
    <t>Name</t>
    <phoneticPr fontId="4"/>
  </si>
  <si>
    <t>Category</t>
    <phoneticPr fontId="5"/>
  </si>
  <si>
    <t>Subcategory</t>
    <phoneticPr fontId="4"/>
  </si>
  <si>
    <t>New Syntax</t>
    <phoneticPr fontId="4"/>
  </si>
  <si>
    <t>Rec</t>
    <phoneticPr fontId="5"/>
  </si>
  <si>
    <t>param</t>
    <phoneticPr fontId="4"/>
  </si>
  <si>
    <t>motion</t>
    <phoneticPr fontId="5"/>
  </si>
  <si>
    <t>non-motion</t>
    <phoneticPr fontId="4"/>
  </si>
  <si>
    <t>Texture Tool</t>
    <phoneticPr fontId="4"/>
  </si>
  <si>
    <t>Depth Tool</t>
    <phoneticPr fontId="4"/>
  </si>
  <si>
    <t>QT limit</t>
    <phoneticPr fontId="4"/>
  </si>
  <si>
    <t>Texture merge</t>
    <phoneticPr fontId="4"/>
  </si>
  <si>
    <t>Inter view (IV)</t>
    <phoneticPr fontId="5"/>
  </si>
  <si>
    <t>Inter comp (IC)</t>
    <phoneticPr fontId="5"/>
  </si>
  <si>
    <t>IV+IC</t>
    <phoneticPr fontId="5"/>
  </si>
  <si>
    <t>Ref / Residual</t>
    <phoneticPr fontId="5"/>
  </si>
  <si>
    <t>motion</t>
    <phoneticPr fontId="4"/>
  </si>
  <si>
    <t>Syntax Change</t>
    <phoneticPr fontId="3"/>
  </si>
  <si>
    <t>Same view</t>
    <phoneticPr fontId="5"/>
  </si>
  <si>
    <t>Different view</t>
    <phoneticPr fontId="5"/>
  </si>
  <si>
    <t>Ver / contribution</t>
    <phoneticPr fontId="4"/>
  </si>
  <si>
    <t>Ref / Residual</t>
    <phoneticPr fontId="4"/>
  </si>
  <si>
    <t>New Contexts</t>
    <phoneticPr fontId="4"/>
  </si>
  <si>
    <t>Tool</t>
    <phoneticPr fontId="3"/>
  </si>
  <si>
    <t>Texture /  Depth</t>
    <phoneticPr fontId="3"/>
  </si>
  <si>
    <t>Mult</t>
    <phoneticPr fontId="7"/>
  </si>
  <si>
    <t>Width</t>
    <phoneticPr fontId="7"/>
  </si>
  <si>
    <t>Height</t>
    <phoneticPr fontId="7"/>
  </si>
  <si>
    <t>Tap</t>
    <phoneticPr fontId="7"/>
  </si>
  <si>
    <t>Align H:</t>
  </si>
  <si>
    <t>Align V:</t>
    <phoneticPr fontId="10" type="noConversion"/>
  </si>
  <si>
    <t>Div</t>
    <phoneticPr fontId="7"/>
  </si>
  <si>
    <t>Bi</t>
    <phoneticPr fontId="7"/>
  </si>
  <si>
    <t>Step</t>
    <phoneticPr fontId="7"/>
  </si>
  <si>
    <t>.</t>
    <phoneticPr fontId="7"/>
  </si>
  <si>
    <t>Name</t>
    <phoneticPr fontId="7"/>
  </si>
  <si>
    <t>Others</t>
    <phoneticPr fontId="7"/>
  </si>
  <si>
    <t>Shift</t>
    <phoneticPr fontId="7"/>
  </si>
  <si>
    <t>MC8x8</t>
    <phoneticPr fontId="7"/>
  </si>
  <si>
    <t>MC4x8</t>
    <phoneticPr fontId="7"/>
  </si>
  <si>
    <t>Residual8x8</t>
    <phoneticPr fontId="7"/>
  </si>
  <si>
    <t>Parameters</t>
    <phoneticPr fontId="7"/>
  </si>
  <si>
    <t>1st MC8x4</t>
    <phoneticPr fontId="7"/>
  </si>
  <si>
    <t>2nd MC8x4</t>
    <phoneticPr fontId="7"/>
  </si>
  <si>
    <t>1st MC4x8</t>
    <phoneticPr fontId="7"/>
  </si>
  <si>
    <t>2nd MC4x8</t>
    <phoneticPr fontId="7"/>
  </si>
  <si>
    <t>1st MC8x8</t>
    <phoneticPr fontId="7"/>
  </si>
  <si>
    <t>2nd MC8x8</t>
    <phoneticPr fontId="7"/>
  </si>
  <si>
    <t>1st Residual8x8</t>
    <phoneticPr fontId="7"/>
  </si>
  <si>
    <t>2nd Residual8x8</t>
    <phoneticPr fontId="7"/>
  </si>
  <si>
    <t>Example1</t>
    <phoneticPr fontId="7"/>
  </si>
  <si>
    <t>Example2</t>
    <phoneticPr fontId="7"/>
  </si>
  <si>
    <t>Example3</t>
    <phoneticPr fontId="7"/>
  </si>
  <si>
    <t>Example4</t>
    <phoneticPr fontId="7"/>
  </si>
  <si>
    <t>bit</t>
    <phoneticPr fontId="7"/>
  </si>
  <si>
    <t>Pic size</t>
    <phoneticPr fontId="7"/>
  </si>
  <si>
    <t>line size</t>
    <phoneticPr fontId="7"/>
  </si>
  <si>
    <t>LCU size</t>
    <phoneticPr fontId="7"/>
  </si>
  <si>
    <t>bytes</t>
    <phoneticPr fontId="7"/>
  </si>
  <si>
    <t>size</t>
    <phoneticPr fontId="7"/>
  </si>
  <si>
    <t>SAO</t>
    <phoneticPr fontId="7"/>
  </si>
  <si>
    <t>SAO filter</t>
    <phoneticPr fontId="7"/>
  </si>
  <si>
    <t>Example5</t>
    <phoneticPr fontId="7"/>
  </si>
  <si>
    <t>Data Granularity</t>
    <phoneticPr fontId="4"/>
  </si>
  <si>
    <t>Number of Operation</t>
    <phoneticPr fontId="7"/>
  </si>
  <si>
    <t>Data Transfer Rate</t>
    <phoneticPr fontId="7"/>
  </si>
  <si>
    <t>Data Storage</t>
    <phoneticPr fontId="7"/>
  </si>
  <si>
    <t>DISP/PISP</t>
    <phoneticPr fontId="3"/>
  </si>
  <si>
    <t>IVMP</t>
    <phoneticPr fontId="3"/>
  </si>
  <si>
    <t>SAO clustering</t>
    <phoneticPr fontId="7"/>
  </si>
  <si>
    <t>Logical</t>
  </si>
  <si>
    <t>Logical</t>
    <phoneticPr fontId="7"/>
  </si>
  <si>
    <t>Table</t>
  </si>
  <si>
    <t>Table</t>
    <phoneticPr fontId="7"/>
  </si>
  <si>
    <t>Mult</t>
  </si>
  <si>
    <t>Shift</t>
  </si>
  <si>
    <t>Div</t>
  </si>
  <si>
    <t>Others</t>
  </si>
  <si>
    <t>Add</t>
    <phoneticPr fontId="7"/>
  </si>
  <si>
    <t>m_pClipTable[pDec[x] + m_iOffsetEo[edgeType]]</t>
  </si>
  <si>
    <t>edgeType =  signRight + signLeft + 2</t>
  </si>
  <si>
    <t>signRight =  xSign(pDec[x] - pDec[x+1]), xSign (x) =  ((x &gt;&gt; 31) | ((int)( (((unsigned int) -x)) &gt;&gt; 31)))</t>
    <phoneticPr fontId="7"/>
  </si>
  <si>
    <t>per pixel</t>
    <phoneticPr fontId="7"/>
  </si>
  <si>
    <t>MC8x4</t>
    <phoneticPr fontId="7"/>
  </si>
  <si>
    <t>V</t>
    <phoneticPr fontId="3"/>
  </si>
  <si>
    <t>V</t>
    <phoneticPr fontId="3"/>
  </si>
  <si>
    <t>V</t>
    <phoneticPr fontId="3"/>
  </si>
  <si>
    <t>V</t>
    <phoneticPr fontId="3"/>
  </si>
  <si>
    <t>V</t>
    <phoneticPr fontId="3"/>
  </si>
  <si>
    <t>Same view and comp</t>
    <phoneticPr fontId="3"/>
  </si>
  <si>
    <t>Block-level</t>
    <phoneticPr fontId="4"/>
  </si>
  <si>
    <t>bytes/process</t>
    <phoneticPr fontId="14" type="noConversion"/>
  </si>
  <si>
    <t>bytes/block</t>
    <phoneticPr fontId="7"/>
  </si>
  <si>
    <t>bytes/block</t>
    <phoneticPr fontId="7"/>
  </si>
  <si>
    <t>Potential for Parallelism 
(Picture, slice, tile level)</t>
    <phoneticPr fontId="3"/>
  </si>
  <si>
    <t>Depth</t>
    <phoneticPr fontId="3"/>
  </si>
  <si>
    <t>syntax</t>
    <phoneticPr fontId="5"/>
  </si>
  <si>
    <t>non-syntax</t>
    <phoneticPr fontId="4"/>
  </si>
  <si>
    <t>Texture</t>
    <phoneticPr fontId="3"/>
  </si>
  <si>
    <t>V
(ref_idx)</t>
    <phoneticPr fontId="3"/>
  </si>
  <si>
    <t>Add / Sub / Clip / Max / Min</t>
    <phoneticPr fontId="7"/>
  </si>
  <si>
    <t>Picture, slice, tile</t>
    <phoneticPr fontId="4"/>
  </si>
  <si>
    <t>Potential for Parallelism
(block, LCU or sub-CU level; 4x4, 8x8, 16x16, etc)</t>
    <phoneticPr fontId="4"/>
  </si>
  <si>
    <t>View Synthesis Prediction (VSP)</t>
    <phoneticPr fontId="4"/>
  </si>
  <si>
    <t>Advance Residual Prediction (ARP)</t>
    <phoneticPr fontId="3"/>
  </si>
  <si>
    <t>V</t>
    <phoneticPr fontId="3"/>
  </si>
  <si>
    <t>V</t>
    <phoneticPr fontId="3"/>
  </si>
  <si>
    <t>Data granularity</t>
    <phoneticPr fontId="14" type="noConversion"/>
  </si>
  <si>
    <t>One MB</t>
    <phoneticPr fontId="14" type="noConversion"/>
  </si>
  <si>
    <t>Bits/Pixel</t>
    <phoneticPr fontId="14" type="noConversion"/>
  </si>
  <si>
    <t>Filter_tap_L</t>
    <phoneticPr fontId="14" type="noConversion"/>
  </si>
  <si>
    <t>Filter_tap_R</t>
    <phoneticPr fontId="14" type="noConversion"/>
  </si>
  <si>
    <t>Bits of DVx</t>
    <phoneticPr fontId="14" type="noConversion"/>
  </si>
  <si>
    <t>Bits of Dvy</t>
    <phoneticPr fontId="14" type="noConversion"/>
  </si>
  <si>
    <t>LD_W</t>
    <phoneticPr fontId="14" type="noConversion"/>
  </si>
  <si>
    <t>LD_H</t>
    <phoneticPr fontId="14" type="noConversion"/>
  </si>
  <si>
    <t>UD_W</t>
    <phoneticPr fontId="14" type="noConversion"/>
  </si>
  <si>
    <t>UD_H</t>
    <phoneticPr fontId="14" type="noConversion"/>
  </si>
  <si>
    <t>LR_W</t>
    <phoneticPr fontId="14" type="noConversion"/>
  </si>
  <si>
    <t>LR_H</t>
    <phoneticPr fontId="14" type="noConversion"/>
  </si>
  <si>
    <t>UR_W</t>
    <phoneticPr fontId="14" type="noConversion"/>
  </si>
  <si>
    <t>UR_H</t>
    <phoneticPr fontId="14" type="noConversion"/>
  </si>
  <si>
    <t>B_W</t>
    <phoneticPr fontId="14" type="noConversion"/>
  </si>
  <si>
    <t>B_H</t>
    <phoneticPr fontId="14" type="noConversion"/>
  </si>
  <si>
    <t># of blocks in 16x16 block</t>
    <phoneticPr fontId="14" type="noConversion"/>
  </si>
  <si>
    <t>P_L0_16x16</t>
  </si>
  <si>
    <t>P_L0_L0_16x8</t>
  </si>
  <si>
    <t>P_L0_L0_8x16</t>
  </si>
  <si>
    <t>P_Skip</t>
  </si>
  <si>
    <t>Number of operations</t>
    <phoneticPr fontId="14" type="noConversion"/>
  </si>
  <si>
    <t>Whole MB process</t>
    <phoneticPr fontId="14" type="noConversion"/>
  </si>
  <si>
    <t>Total</t>
    <phoneticPr fontId="14" type="noConversion"/>
  </si>
  <si>
    <t>Data storage (bits)</t>
    <phoneticPr fontId="14" type="noConversion"/>
  </si>
  <si>
    <t>Reference and decoded template</t>
    <phoneticPr fontId="14" type="noConversion"/>
  </si>
  <si>
    <t>Compensated block</t>
    <phoneticPr fontId="14" type="noConversion"/>
  </si>
  <si>
    <t>Data rate (bits/MB)</t>
    <phoneticPr fontId="14" type="noConversion"/>
  </si>
  <si>
    <t>Intra_16x16</t>
    <phoneticPr fontId="14" type="noConversion"/>
  </si>
  <si>
    <t>Intra_8x8</t>
    <phoneticPr fontId="14" type="noConversion"/>
  </si>
  <si>
    <t>Intra_4x4</t>
    <phoneticPr fontId="14" type="noConversion"/>
  </si>
  <si>
    <t>Two Representation Depth Value Generation</t>
    <phoneticPr fontId="14" type="noConversion"/>
  </si>
  <si>
    <t>Prediction code of neighboring line</t>
    <phoneticPr fontId="14" type="noConversion"/>
  </si>
  <si>
    <t>Prediction code generation of current block and prediction map to depth conversion</t>
    <phoneticPr fontId="14" type="noConversion"/>
  </si>
  <si>
    <t>Add/Comp</t>
    <phoneticPr fontId="14" type="noConversion"/>
  </si>
  <si>
    <t>Shift</t>
    <phoneticPr fontId="14" type="noConversion"/>
  </si>
  <si>
    <t>Div</t>
    <phoneticPr fontId="14" type="noConversion"/>
  </si>
  <si>
    <t>Comp/Add</t>
    <phoneticPr fontId="14" type="noConversion"/>
  </si>
  <si>
    <t>Add/Comp/Logi</t>
    <phoneticPr fontId="14" type="noConversion"/>
  </si>
  <si>
    <t>Div</t>
    <phoneticPr fontId="14" type="noConversion"/>
  </si>
  <si>
    <t>Add/Comp/Logi</t>
    <phoneticPr fontId="14" type="noConversion"/>
  </si>
  <si>
    <t>Intra_16x16</t>
    <phoneticPr fontId="14" type="noConversion"/>
  </si>
  <si>
    <t>Intra_4x4</t>
    <phoneticPr fontId="14" type="noConversion"/>
  </si>
  <si>
    <t>Data Storage (bits)</t>
    <phoneticPr fontId="14" type="noConversion"/>
  </si>
  <si>
    <t>upper and left lines</t>
    <phoneticPr fontId="14" type="noConversion"/>
  </si>
  <si>
    <t>Prediction code difference</t>
    <phoneticPr fontId="14" type="noConversion"/>
  </si>
  <si>
    <t>LUT</t>
    <phoneticPr fontId="14" type="noConversion"/>
  </si>
  <si>
    <t>Decoded blcok</t>
    <phoneticPr fontId="14" type="noConversion"/>
  </si>
  <si>
    <t>Total</t>
    <phoneticPr fontId="14" type="noConversion"/>
  </si>
  <si>
    <t xml:space="preserve">Total </t>
    <phoneticPr fontId="14" type="noConversion"/>
  </si>
  <si>
    <t>Prediction code difference</t>
    <phoneticPr fontId="14" type="noConversion"/>
  </si>
  <si>
    <t>Adaptive Luminance Compensation (ALC)</t>
    <phoneticPr fontId="4"/>
  </si>
  <si>
    <t>Illumination Compensation (IC)</t>
    <phoneticPr fontId="4"/>
  </si>
  <si>
    <t>Potential for Parallelism
(block, CU or sub-CU level; 4x4, 8x8, 16x16, etc)</t>
    <phoneticPr fontId="4"/>
  </si>
  <si>
    <t xml:space="preserve">New motion parameter inheritance (MPI) </t>
    <phoneticPr fontId="3"/>
  </si>
  <si>
    <t>motion</t>
    <phoneticPr fontId="5"/>
  </si>
  <si>
    <t>Depth quadtree Prediction</t>
    <phoneticPr fontId="3"/>
  </si>
  <si>
    <t>Illumination compensation (IC)</t>
    <phoneticPr fontId="4"/>
  </si>
  <si>
    <t>Bits per reference depth pixels</t>
    <phoneticPr fontId="23" type="noConversion"/>
  </si>
  <si>
    <t>PU_size</t>
    <phoneticPr fontId="23" type="noConversion"/>
  </si>
  <si>
    <t>N</t>
    <phoneticPr fontId="23" type="noConversion"/>
  </si>
  <si>
    <t>Subsampling ratio</t>
    <phoneticPr fontId="24" type="noConversion"/>
  </si>
  <si>
    <t>Bits per predicted depth pixels</t>
    <phoneticPr fontId="23" type="noConversion"/>
  </si>
  <si>
    <t>64x64</t>
    <phoneticPr fontId="23" type="noConversion"/>
  </si>
  <si>
    <t>Segment DC</t>
    <phoneticPr fontId="23" type="noConversion"/>
  </si>
  <si>
    <t>32x32</t>
    <phoneticPr fontId="23" type="noConversion"/>
  </si>
  <si>
    <t>Bits per reconstructed depth pixels</t>
    <phoneticPr fontId="23" type="noConversion"/>
  </si>
  <si>
    <t>16x16</t>
    <phoneticPr fontId="23" type="noConversion"/>
  </si>
  <si>
    <t>8x8</t>
    <phoneticPr fontId="23" type="noConversion"/>
  </si>
  <si>
    <t>Prediction block generation (DC pred)</t>
    <phoneticPr fontId="23" type="noConversion"/>
  </si>
  <si>
    <t>Prediction block generation (Planar)</t>
    <phoneticPr fontId="23" type="noConversion"/>
  </si>
  <si>
    <t>Prediction block generation (DMM 1)</t>
    <phoneticPr fontId="23" type="noConversion"/>
  </si>
  <si>
    <t>PU_size</t>
    <phoneticPr fontId="23" type="noConversion"/>
  </si>
  <si>
    <t>Add</t>
    <phoneticPr fontId="23" type="noConversion"/>
  </si>
  <si>
    <t>Sub</t>
    <phoneticPr fontId="23" type="noConversion"/>
  </si>
  <si>
    <t>Comp</t>
    <phoneticPr fontId="23" type="noConversion"/>
  </si>
  <si>
    <t>Shift</t>
    <phoneticPr fontId="23" type="noConversion"/>
  </si>
  <si>
    <t>LUT</t>
    <phoneticPr fontId="23" type="noConversion"/>
  </si>
  <si>
    <t>PU_size</t>
    <phoneticPr fontId="23" type="noConversion"/>
  </si>
  <si>
    <t>Sub</t>
    <phoneticPr fontId="23" type="noConversion"/>
  </si>
  <si>
    <t>Comp</t>
    <phoneticPr fontId="23" type="noConversion"/>
  </si>
  <si>
    <t>LUT</t>
    <phoneticPr fontId="23" type="noConversion"/>
  </si>
  <si>
    <t>Add</t>
    <phoneticPr fontId="23" type="noConversion"/>
  </si>
  <si>
    <t>64x64</t>
    <phoneticPr fontId="23" type="noConversion"/>
  </si>
  <si>
    <t>16x16</t>
    <phoneticPr fontId="23" type="noConversion"/>
  </si>
  <si>
    <t>8x8</t>
    <phoneticPr fontId="23" type="noConversion"/>
  </si>
  <si>
    <t>Segment DC analysis (DC pred)</t>
    <phoneticPr fontId="23" type="noConversion"/>
  </si>
  <si>
    <t>Segment DC analysis (Planar)</t>
    <phoneticPr fontId="23" type="noConversion"/>
  </si>
  <si>
    <t>Segment DC analysis (DMM 1)</t>
    <phoneticPr fontId="23" type="noConversion"/>
  </si>
  <si>
    <t>PU_size</t>
    <phoneticPr fontId="23" type="noConversion"/>
  </si>
  <si>
    <t>Add</t>
    <phoneticPr fontId="23" type="noConversion"/>
  </si>
  <si>
    <t>Sub</t>
    <phoneticPr fontId="23" type="noConversion"/>
  </si>
  <si>
    <t>Comp</t>
    <phoneticPr fontId="23" type="noConversion"/>
  </si>
  <si>
    <t>Shift</t>
    <phoneticPr fontId="23" type="noConversion"/>
  </si>
  <si>
    <t>LUT</t>
    <phoneticPr fontId="23" type="noConversion"/>
  </si>
  <si>
    <t>64x64</t>
    <phoneticPr fontId="23" type="noConversion"/>
  </si>
  <si>
    <t>32x32</t>
    <phoneticPr fontId="23" type="noConversion"/>
  </si>
  <si>
    <t>Current block reconstruction (DC)</t>
    <phoneticPr fontId="23" type="noConversion"/>
  </si>
  <si>
    <t>Current block reconstruction (Planar)</t>
    <phoneticPr fontId="23" type="noConversion"/>
  </si>
  <si>
    <t>Current block reconstruction (DMM 1)</t>
    <phoneticPr fontId="23" type="noConversion"/>
  </si>
  <si>
    <t>Total</t>
    <phoneticPr fontId="23" type="noConversion"/>
  </si>
  <si>
    <t>Summary</t>
    <phoneticPr fontId="23" type="noConversion"/>
  </si>
  <si>
    <t>Summary</t>
    <phoneticPr fontId="23" type="noConversion"/>
  </si>
  <si>
    <t>Add/Sub/Comp</t>
    <phoneticPr fontId="23" type="noConversion"/>
  </si>
  <si>
    <t>64x64</t>
    <phoneticPr fontId="23" type="noConversion"/>
  </si>
  <si>
    <t>8x8</t>
    <phoneticPr fontId="23" type="noConversion"/>
  </si>
  <si>
    <t>Reference pixels</t>
  </si>
  <si>
    <t>Segment DC</t>
  </si>
  <si>
    <t>Reconstructed block</t>
  </si>
  <si>
    <t>64x64</t>
    <phoneticPr fontId="23" type="noConversion"/>
  </si>
  <si>
    <t>32x32</t>
    <phoneticPr fontId="23" type="noConversion"/>
  </si>
  <si>
    <t>16x16</t>
    <phoneticPr fontId="23" type="noConversion"/>
  </si>
  <si>
    <t>PU_size</t>
    <phoneticPr fontId="23" type="noConversion"/>
  </si>
  <si>
    <t>Total</t>
    <phoneticPr fontId="23" type="noConversion"/>
  </si>
  <si>
    <t>64x64</t>
    <phoneticPr fontId="14" type="noConversion"/>
  </si>
  <si>
    <t>32x32</t>
    <phoneticPr fontId="14" type="noConversion"/>
  </si>
  <si>
    <t>16x16</t>
    <phoneticPr fontId="14" type="noConversion"/>
  </si>
  <si>
    <t>8x8</t>
    <phoneticPr fontId="14" type="noConversion"/>
  </si>
  <si>
    <t>B_W</t>
    <phoneticPr fontId="23" type="noConversion"/>
  </si>
  <si>
    <t>B_H</t>
    <phoneticPr fontId="23" type="noConversion"/>
  </si>
  <si>
    <t>U_refP</t>
    <phoneticPr fontId="23" type="noConversion"/>
  </si>
  <si>
    <t>L_refP</t>
    <phoneticPr fontId="23" type="noConversion"/>
  </si>
  <si>
    <t># of Prediction Codes</t>
    <phoneticPr fontId="23" type="noConversion"/>
  </si>
  <si>
    <t># of blocks in 16x16 block</t>
    <phoneticPr fontId="23" type="noConversion"/>
  </si>
  <si>
    <t>Intra_16x16</t>
    <phoneticPr fontId="14" type="noConversion"/>
  </si>
  <si>
    <t>Intra_8x8</t>
    <phoneticPr fontId="14" type="noConversion"/>
  </si>
  <si>
    <t>Intra_4x4</t>
    <phoneticPr fontId="14" type="noConversion"/>
  </si>
  <si>
    <t>For one MB</t>
    <phoneticPr fontId="14" type="noConversion"/>
  </si>
  <si>
    <t>upper and left lines</t>
    <phoneticPr fontId="14" type="noConversion"/>
  </si>
  <si>
    <t>Decoded blcok</t>
    <phoneticPr fontId="14" type="noConversion"/>
  </si>
  <si>
    <t>Data storage (bits)</t>
    <phoneticPr fontId="24" type="noConversion"/>
  </si>
  <si>
    <t>Data rate (bits per blcok)</t>
    <phoneticPr fontId="23" type="noConversion"/>
  </si>
  <si>
    <t>For one iteration</t>
    <phoneticPr fontId="14" type="noConversion"/>
  </si>
  <si>
    <t>Disparity vectors</t>
    <phoneticPr fontId="14" type="noConversion"/>
  </si>
  <si>
    <t>Reference block</t>
    <phoneticPr fontId="14" type="noConversion"/>
  </si>
  <si>
    <t>Total</t>
    <phoneticPr fontId="14" type="noConversion"/>
  </si>
  <si>
    <t>Reference block position derivation</t>
    <phoneticPr fontId="14" type="noConversion"/>
  </si>
  <si>
    <t>Luminance-compensated weight generation</t>
    <phoneticPr fontId="14" type="noConversion"/>
  </si>
  <si>
    <t>Interpolation</t>
    <phoneticPr fontId="14" type="noConversion"/>
  </si>
  <si>
    <t>Weighted motion compensation</t>
    <phoneticPr fontId="14" type="noConversion"/>
  </si>
  <si>
    <t>Add</t>
    <phoneticPr fontId="14" type="noConversion"/>
  </si>
  <si>
    <t>Add/Sub/Comp</t>
    <phoneticPr fontId="14" type="noConversion"/>
  </si>
  <si>
    <t>Div</t>
    <phoneticPr fontId="14" type="noConversion"/>
  </si>
  <si>
    <t>Mul</t>
    <phoneticPr fontId="14" type="noConversion"/>
  </si>
  <si>
    <t>Shift</t>
    <phoneticPr fontId="14" type="noConversion"/>
  </si>
  <si>
    <t>ConsMul</t>
    <phoneticPr fontId="14" type="noConversion"/>
  </si>
  <si>
    <t>P_L0_16x16</t>
    <phoneticPr fontId="14" type="noConversion"/>
  </si>
  <si>
    <t>P_L0_L0_16x8</t>
    <phoneticPr fontId="14" type="noConversion"/>
  </si>
  <si>
    <t>P_L0_L0_8x16</t>
    <phoneticPr fontId="14" type="noConversion"/>
  </si>
  <si>
    <t>P_Skip</t>
    <phoneticPr fontId="14" type="noConversion"/>
  </si>
  <si>
    <t>Reference block</t>
    <phoneticPr fontId="14" type="noConversion"/>
  </si>
  <si>
    <t>Number of operations (for one PU)</t>
    <phoneticPr fontId="23" type="noConversion"/>
  </si>
  <si>
    <t>Data granularity</t>
  </si>
  <si>
    <t>PU_size</t>
  </si>
  <si>
    <t>B_W</t>
  </si>
  <si>
    <t>B_H</t>
  </si>
  <si>
    <t>64x64</t>
  </si>
  <si>
    <t>32x32</t>
  </si>
  <si>
    <t>16x16</t>
  </si>
  <si>
    <t>8x8</t>
  </si>
  <si>
    <t>Uni-Prediction</t>
    <phoneticPr fontId="29" type="noConversion"/>
  </si>
  <si>
    <t>Bi-Prediction</t>
    <phoneticPr fontId="29" type="noConversion"/>
  </si>
  <si>
    <t>Number of operations</t>
  </si>
  <si>
    <t>Total</t>
    <phoneticPr fontId="29" type="noConversion"/>
  </si>
  <si>
    <t>Add/Sub</t>
    <phoneticPr fontId="29" type="noConversion"/>
  </si>
  <si>
    <t>Mul</t>
    <phoneticPr fontId="29" type="noConversion"/>
  </si>
  <si>
    <t>Div. LUT</t>
    <phoneticPr fontId="29" type="noConversion"/>
  </si>
  <si>
    <t>Shift</t>
    <phoneticPr fontId="29" type="noConversion"/>
  </si>
  <si>
    <t>Data storage requirement (bits)</t>
    <phoneticPr fontId="29" type="noConversion"/>
  </si>
  <si>
    <t>Data transfer rate (bits)</t>
    <phoneticPr fontId="29" type="noConversion"/>
  </si>
  <si>
    <t>One PU</t>
  </si>
  <si>
    <t>Bits of pixel</t>
    <phoneticPr fontId="29" type="noConversion"/>
  </si>
  <si>
    <t>Luma</t>
    <phoneticPr fontId="29" type="noConversion"/>
  </si>
  <si>
    <t>Chroma</t>
    <phoneticPr fontId="29" type="noConversion"/>
  </si>
  <si>
    <t>Uni-Prediction</t>
    <phoneticPr fontId="29" type="noConversion"/>
  </si>
  <si>
    <t>Bi-Prediction</t>
    <phoneticPr fontId="29" type="noConversion"/>
  </si>
  <si>
    <t>Compensation model derivation</t>
    <phoneticPr fontId="29" type="noConversion"/>
  </si>
  <si>
    <t>Prediction block generation</t>
  </si>
  <si>
    <t>Prediction block averaging</t>
    <phoneticPr fontId="29" type="noConversion"/>
  </si>
  <si>
    <t>Compensation model derivation</t>
    <phoneticPr fontId="29" type="noConversion"/>
  </si>
  <si>
    <t>Prediction block averaging</t>
    <phoneticPr fontId="29" type="noConversion"/>
  </si>
  <si>
    <t>Add</t>
    <phoneticPr fontId="29" type="noConversion"/>
  </si>
  <si>
    <t>Sub</t>
    <phoneticPr fontId="29" type="noConversion"/>
  </si>
  <si>
    <t>-</t>
    <phoneticPr fontId="29" type="noConversion"/>
  </si>
  <si>
    <t>Left and above pixels of current block</t>
    <phoneticPr fontId="29" type="noConversion"/>
  </si>
  <si>
    <t>Left and above pixels of reference block</t>
    <phoneticPr fontId="29" type="noConversion"/>
  </si>
  <si>
    <t>Reference block</t>
    <phoneticPr fontId="29" type="noConversion"/>
  </si>
  <si>
    <t>Uni-Prediction</t>
  </si>
  <si>
    <t>Bi-Prediction</t>
    <phoneticPr fontId="29" type="noConversion"/>
  </si>
  <si>
    <t>Total</t>
    <phoneticPr fontId="29" type="noConversion"/>
  </si>
  <si>
    <t>Prediction block (Uni-prediction)</t>
  </si>
  <si>
    <t>-</t>
    <phoneticPr fontId="29" type="noConversion"/>
  </si>
  <si>
    <t>Bits of pixel</t>
    <phoneticPr fontId="29" type="noConversion"/>
  </si>
  <si>
    <t>Luma interpolation tap size</t>
    <phoneticPr fontId="29" type="noConversion"/>
  </si>
  <si>
    <t>Chroma interpolation tap size</t>
    <phoneticPr fontId="29" type="noConversion"/>
  </si>
  <si>
    <t>Chroma</t>
    <phoneticPr fontId="29" type="noConversion"/>
  </si>
  <si>
    <t>Bi-Prediction</t>
    <phoneticPr fontId="29" type="noConversion"/>
  </si>
  <si>
    <t>Reference block generation</t>
    <phoneticPr fontId="29" type="noConversion"/>
  </si>
  <si>
    <t>Compensation model derivation</t>
    <phoneticPr fontId="29" type="noConversion"/>
  </si>
  <si>
    <t>Con. Mul.</t>
    <phoneticPr fontId="29" type="noConversion"/>
  </si>
  <si>
    <t>Shift</t>
    <phoneticPr fontId="29" type="noConversion"/>
  </si>
  <si>
    <t>Sub</t>
    <phoneticPr fontId="29" type="noConversion"/>
  </si>
  <si>
    <t>Mul</t>
    <phoneticPr fontId="29" type="noConversion"/>
  </si>
  <si>
    <t>Div. LUT</t>
    <phoneticPr fontId="29" type="noConversion"/>
  </si>
  <si>
    <t>Add</t>
    <phoneticPr fontId="29" type="noConversion"/>
  </si>
  <si>
    <t>-</t>
    <phoneticPr fontId="29" type="noConversion"/>
  </si>
  <si>
    <t>Buffer for intermediate data</t>
    <phoneticPr fontId="29" type="noConversion"/>
  </si>
  <si>
    <t>Uni-Prediction</t>
    <phoneticPr fontId="29" type="noConversion"/>
  </si>
  <si>
    <t>HTM9</t>
    <phoneticPr fontId="3"/>
  </si>
  <si>
    <t>HTM9</t>
    <phoneticPr fontId="4"/>
  </si>
  <si>
    <t>HTM9</t>
    <phoneticPr fontId="4"/>
  </si>
  <si>
    <t>Computation [per Pic]</t>
    <phoneticPr fontId="7"/>
  </si>
  <si>
    <t>Data transfer rate [per pic]</t>
    <phoneticPr fontId="7"/>
  </si>
  <si>
    <t>Computation [%]</t>
    <phoneticPr fontId="7"/>
  </si>
  <si>
    <t>Data transfer rate [%]</t>
    <phoneticPr fontId="7"/>
  </si>
  <si>
    <t>Block Size</t>
    <phoneticPr fontId="7"/>
  </si>
  <si>
    <t>Control parameters</t>
    <phoneticPr fontId="7"/>
  </si>
  <si>
    <t>Expression</t>
    <phoneticPr fontId="7"/>
  </si>
  <si>
    <t>HEVC Main profile</t>
    <phoneticPr fontId="7"/>
  </si>
  <si>
    <t>CU</t>
    <phoneticPr fontId="7"/>
  </si>
  <si>
    <t>PU</t>
    <phoneticPr fontId="7"/>
  </si>
  <si>
    <t>Mult</t>
    <phoneticPr fontId="7"/>
  </si>
  <si>
    <t>Bandwidth</t>
    <phoneticPr fontId="7"/>
  </si>
  <si>
    <t>Mult [%]</t>
    <phoneticPr fontId="7"/>
  </si>
  <si>
    <t>Add [%]</t>
    <phoneticPr fontId="7"/>
  </si>
  <si>
    <t>Bandwidth [%]</t>
    <phoneticPr fontId="7"/>
  </si>
  <si>
    <t>w</t>
    <phoneticPr fontId="7"/>
  </si>
  <si>
    <t>h</t>
    <phoneticPr fontId="7"/>
  </si>
  <si>
    <t>tap</t>
    <phoneticPr fontId="7"/>
  </si>
  <si>
    <t>ctap</t>
    <phoneticPr fontId="7"/>
  </si>
  <si>
    <t>bi</t>
    <phoneticPr fontId="7"/>
  </si>
  <si>
    <t>cbi</t>
    <phoneticPr fontId="7"/>
  </si>
  <si>
    <t>Add</t>
    <phoneticPr fontId="7"/>
  </si>
  <si>
    <t>MC</t>
    <phoneticPr fontId="7"/>
  </si>
  <si>
    <t>64x64</t>
    <phoneticPr fontId="7"/>
  </si>
  <si>
    <t>64x64</t>
    <phoneticPr fontId="7"/>
  </si>
  <si>
    <t>((w*tap*(h+tap-1)+w*tap*h)*bi+(cw*ctap*(ch+ctap-1)+cw*ctap*ch)*2*cbi) / (w*h)</t>
    <phoneticPr fontId="7"/>
  </si>
  <si>
    <t>(((w*(tap-1)*(h+tap-1)+w*(tap-1)*h)*bi + (cw*(ctap-1)*(ch+ctap-1)+cw*(ctap-1)*ch)*2*cbi) / (w*h)</t>
    <phoneticPr fontId="7"/>
  </si>
  <si>
    <t>((w+tap-1)*(h+tap-1)*bi+(cw+ctap-1)*(ch+ctap-1)*2*cbi) / (w*h)</t>
    <phoneticPr fontId="7"/>
  </si>
  <si>
    <t>32x32</t>
    <phoneticPr fontId="7"/>
  </si>
  <si>
    <t>((w*tap*(h+tap-1)+w*tap*h)*bi+(cw*ctap*(ch+ctap-1)+cw*ctap*ch)*2*cbi) / (w*h)</t>
    <phoneticPr fontId="7"/>
  </si>
  <si>
    <t>((w+tap-1)*(h+tap-1)*bi+(cw+ctap-1)*(ch+ctap-1)*2*cbi) / (w*h)</t>
    <phoneticPr fontId="7"/>
  </si>
  <si>
    <t>16x16</t>
    <phoneticPr fontId="7"/>
  </si>
  <si>
    <t>16x16</t>
    <phoneticPr fontId="7"/>
  </si>
  <si>
    <t>(((w*(tap-1)*(h+tap-1)+w*(tap-1)*h)*bi + (cw*(ctap-1)*(ch+ctap-1)+cw*(ctap-1)*ch)*2*cbi) / (w*h)</t>
    <phoneticPr fontId="7"/>
  </si>
  <si>
    <t>8x8</t>
    <phoneticPr fontId="7"/>
  </si>
  <si>
    <t>8x8</t>
    <phoneticPr fontId="7"/>
  </si>
  <si>
    <t>8x4</t>
    <phoneticPr fontId="7"/>
  </si>
  <si>
    <t>((w+tap-1)*(h+tap-1)*bi+(cw+ctap-1)*(ch+ctap-1)*2*cbi) / (w*h)</t>
    <phoneticPr fontId="7"/>
  </si>
  <si>
    <t>8x8</t>
    <phoneticPr fontId="7"/>
  </si>
  <si>
    <t>4x8</t>
    <phoneticPr fontId="7"/>
  </si>
  <si>
    <t>3D-HEVC</t>
    <phoneticPr fontId="7"/>
  </si>
  <si>
    <t>Mult [%]</t>
    <phoneticPr fontId="7"/>
  </si>
  <si>
    <t>Bandwidth [%]</t>
    <phoneticPr fontId="7"/>
  </si>
  <si>
    <t>w</t>
    <phoneticPr fontId="7"/>
  </si>
  <si>
    <t>h</t>
    <phoneticPr fontId="7"/>
  </si>
  <si>
    <t>tap</t>
    <phoneticPr fontId="7"/>
  </si>
  <si>
    <t>ctap</t>
    <phoneticPr fontId="7"/>
  </si>
  <si>
    <t>sw</t>
    <phoneticPr fontId="7"/>
  </si>
  <si>
    <t>sh</t>
    <phoneticPr fontId="7"/>
  </si>
  <si>
    <t>Sub-block (8x8)</t>
    <phoneticPr fontId="7"/>
  </si>
  <si>
    <t>((sw*tap*(sh+tap-1)+sw*tap*sh)*bi+(csw*ctap*(csh+ctap-1)+csw*ctap*csh)*2*cbi)  * (w/sw*h/sh)/ (w*h)</t>
    <phoneticPr fontId="7"/>
  </si>
  <si>
    <t>(((sw*(tap-1)*(sh+tap-1)+sw*(tap-1)*sh)*bi + (csw*(ctap-1)*(csh+ctap-1)+csw*(ctap-1)*csh)*2*cbi) * (w/sw*h/sh)/ (w*h)</t>
    <phoneticPr fontId="7"/>
  </si>
  <si>
    <t>((sw+tap-1)*(sh+tap-1)*bi+(csw+ctap-1)*(csh+ctap-1)*2*cbi) * (w/sw*h/sh)/ (w*h)</t>
    <phoneticPr fontId="7"/>
  </si>
  <si>
    <t>CU</t>
    <phoneticPr fontId="7"/>
  </si>
  <si>
    <t>PU</t>
    <phoneticPr fontId="7"/>
  </si>
  <si>
    <t>Sub-block (16x16)</t>
    <phoneticPr fontId="7"/>
  </si>
  <si>
    <t>((sw*tap*(sh+tap-1)+sw*tap*sh)*bi+(csw*ctap*(csh+ctap-1)+csw*ctap*csh)*2*cbi)  * (w/sw*h/sh)/ (w*h)</t>
    <phoneticPr fontId="7"/>
  </si>
  <si>
    <t>32x32</t>
    <phoneticPr fontId="7"/>
  </si>
  <si>
    <t>(((w*(tap-1)*(h+tap-1)+w*(tap-1)*h)*bi + (cw*(ctap-1)*(ch+ctap-1)+cw*(ctap-1)*ch)*2*cbi) / (w*h)</t>
    <phoneticPr fontId="7"/>
  </si>
  <si>
    <t>((w+tap-1)*(h+tap-1)*bi+(cw+ctap-1)*(ch+ctap-1)*2*cbi) / (w*h)</t>
    <phoneticPr fontId="7"/>
  </si>
  <si>
    <t>8x8</t>
    <phoneticPr fontId="7"/>
  </si>
  <si>
    <t>((w*tap*(h+tap-1)+w*tap*h)*bi+(cw*ctap*(ch+ctap-1)+cw*ctap*ch)*2*cbi) / (w*h)</t>
    <phoneticPr fontId="7"/>
  </si>
  <si>
    <t>htap</t>
    <phoneticPr fontId="7"/>
  </si>
  <si>
    <t>vtap</t>
    <phoneticPr fontId="7"/>
  </si>
  <si>
    <t>VSP</t>
    <phoneticPr fontId="7"/>
  </si>
  <si>
    <t>(IF(vtap&gt;1, (sw*htap*(sh+vtap-1)+sw*vtap*sh)*bi + (csw*htap/2*(csh+vtap/2-1)+csw*vtap/2*csh)*2*cbi, (sw*htap*sh)*bi + csw*htap/2*csh)*2*cbi)) * (w/sw*h/sh)/ (w*h)</t>
    <phoneticPr fontId="7"/>
  </si>
  <si>
    <t>(IF(vtap&gt;0, (sw*(htap-1)*(sh+vtap-1)+sw*(vtap-1)*sh)*bi + (csw*(htap/2-1)*(csh+vtap/2-1)+csw*(vtap/2-1)*csh)*2*cbi), (sw*(htap-1)*sh*bi+csw*(htap/2-1)*csh*2*cbi)) * (w/sw*h/sh)/ (w*h)</t>
    <phoneticPr fontId="7"/>
  </si>
  <si>
    <t>IF(vtap&gt;0, ((sw+htap-1)*(sh+vtap-1)*bi+(csw+htap/2-1)*(csh+vtap/2-1)*2*cbi, ((sw+htap-1)*sh*bi+(csw+htap/2-1)*csh*2*cbi)* (w/sw*h/sh)/ (w*h)</t>
    <phoneticPr fontId="7"/>
  </si>
  <si>
    <t>IF(vtap&gt;0, ((sw+htap-1)*(sh+vtap-1)*bi+(csw+htap/2-1)*(csh+vtap/2-1)*2*cbi, ((sw+htap-1)*sh*bi+(csw+htap/2-1)*csh*2*cbi)* (w/sw*h/sh)/ (w*h)</t>
    <phoneticPr fontId="7"/>
  </si>
  <si>
    <t>16x16</t>
    <phoneticPr fontId="7"/>
  </si>
  <si>
    <t>(IF(vtap&gt;1, (sw*htap*(sh+vtap-1)+sw*vtap*sh)*bi + (csw*htap/2*(csh+vtap/2-1)+csw*vtap/2*csh)*2*cbi, (sw*htap*sh)*bi + csw*htap/2*csh)*2*cbi)) * (w/sw*h/sh)/ (w*h)</t>
    <phoneticPr fontId="7"/>
  </si>
  <si>
    <t>8x4</t>
    <phoneticPr fontId="7"/>
  </si>
  <si>
    <t>4x8</t>
    <phoneticPr fontId="7"/>
  </si>
  <si>
    <t>(IF(vtap&gt;1, (sw*htap*(sh+vtap-1)+sw*vtap*sh)*bi + (csw*htap/2*(csh+vtap/2-1)+csw*vtap/2*csh)*2*cbi, (sw*htap*sh)*bi + csw*htap/2*csh)*2*cbi)) * (w/sw*h/sh)/ (w*h)</t>
    <phoneticPr fontId="7"/>
  </si>
  <si>
    <t>Add</t>
    <phoneticPr fontId="7"/>
  </si>
  <si>
    <t>num</t>
    <phoneticPr fontId="7"/>
  </si>
  <si>
    <t>cnum</t>
    <phoneticPr fontId="7"/>
  </si>
  <si>
    <t>ARP</t>
    <phoneticPr fontId="7"/>
  </si>
  <si>
    <t>((w*tap*(h+tap-1)+w*tap*h)*num*bi+(cw*ctap*(ch+ctap-1)+cw*ctap*ch)*2*cnum*cbi) / (w*h)</t>
    <phoneticPr fontId="7"/>
  </si>
  <si>
    <t>((((w*(tap-1)*(h+tap-1)+w*(tap-1)*h)*num+(w*h)*(num-1))*bi + ((cw*(ctap-1)*(ch+ctap-1)+cw*(ctap-1)*ch)*cnum+cw*ch*(cnum-1))*2*cbi) / (w*h)</t>
    <phoneticPr fontId="7"/>
  </si>
  <si>
    <t>((((w*(tap-1)*(h+tap-1)+w*(tap-1)*h)*num+(w*h)*(num-1))*bi + ((cw*(ctap-1)*(ch+ctap-1)+cw*(ctap-1)*ch)*cnum+cw*ch*(cnum-1))*2*cbi) / (w*h)</t>
    <phoneticPr fontId="7"/>
  </si>
  <si>
    <t>((((w*(tap-1)*(h+tap-1)+w*(tap-1)*h)*num+(w*h)*(num-1))*bi + ((cw*(ctap-1)*(ch+ctap-1)+cw*(ctap-1)*ch)*cnum+cw*ch*(cnum-1))*2*cbi) / (w*h)</t>
    <phoneticPr fontId="7"/>
  </si>
  <si>
    <t>Bandwidth</t>
    <phoneticPr fontId="7"/>
  </si>
  <si>
    <t>Add [%]</t>
    <phoneticPr fontId="7"/>
  </si>
  <si>
    <t>h</t>
    <phoneticPr fontId="7"/>
  </si>
  <si>
    <t>num</t>
    <phoneticPr fontId="7"/>
  </si>
  <si>
    <t>cnum</t>
    <phoneticPr fontId="7"/>
  </si>
  <si>
    <t>IC+MC</t>
    <phoneticPr fontId="7"/>
  </si>
  <si>
    <t>16x16</t>
    <phoneticPr fontId="7"/>
  </si>
  <si>
    <t>bi</t>
    <phoneticPr fontId="7"/>
  </si>
  <si>
    <t>IC</t>
    <phoneticPr fontId="7"/>
  </si>
  <si>
    <t>(IF(tap&gt;0, (w*h+tap*(w+h)*2)*bi+5, 0) + IF(ctap&gt;0, (cw*ch+ctap*(cw+ch)*2+5)*2*cbi, 0)) / (w*h)</t>
    <phoneticPr fontId="7"/>
  </si>
  <si>
    <t>(IF(tap&gt;0, (w*h+tap*(w+h)*4)*bi, 0) + IF(ctap&gt;0, (cw*ch+ctap*(cw+ch)*4)*2*cbi, 0)) / (w*h)</t>
    <phoneticPr fontId="7"/>
  </si>
  <si>
    <t>((w+tap*h)*bi+(cw+ctap*ch)*2*cbi) / (w*h)</t>
    <phoneticPr fontId="7"/>
  </si>
  <si>
    <t>(IF(tap&gt;0, (w*h+tap*(w+h)*4)*bi, 0) + IF(ctap&gt;0, (cw*ch+ctap*(cw+ch)*4)*2*cbi, 0)) / (w*h)</t>
    <phoneticPr fontId="7"/>
  </si>
  <si>
    <t>((w+tap*h)*bi+(cw+ctap*ch)*2*cbi) / (w*h)</t>
    <phoneticPr fontId="7"/>
  </si>
  <si>
    <t>(IF(tap&gt;0, (w*h+tap*(w+h)*2)*bi+5, 0) + IF(ctap&gt;0, (cw*ch+ctap*(cw+ch)*2+5)*2*cbi, 0)) / (w*h)</t>
    <phoneticPr fontId="7"/>
  </si>
  <si>
    <t>non 3D-HEVC</t>
    <phoneticPr fontId="7"/>
  </si>
  <si>
    <t>vtap</t>
    <phoneticPr fontId="7"/>
  </si>
  <si>
    <t>VSP0</t>
    <phoneticPr fontId="7"/>
  </si>
  <si>
    <t>(IF(vtap&gt;1, (sw*htap*(sh+vtap-1)+sw*vtap*sh)*bi + csw*htap/2*(csh+vtap/2-1)+csw*vtap/2*csh)*2*cbi, (sw*htap*sh)*bi + csw*htap/2*csh)*2*cbi)) * (w/sw*h/sh)/ (w*h)</t>
    <phoneticPr fontId="7"/>
  </si>
  <si>
    <t>(IF(vtap&gt;0, (w*(htap-1)*(h+vtap-1)+w*(vtap-1)*h)*bi + (cw*(htap/2-1)*(ch+vtap/2-1)+cw*(vtap/2-1)*ch)*2*cbi), (w*(htap-1)h*bi + cw*(htap/2-1)*ch*2*cbi)) * (w/sw*h/sh)/ (w*h)</t>
    <phoneticPr fontId="7"/>
  </si>
  <si>
    <t>(((sw+htap-1)*(sh+vtap-1)*bi+(scw+htap/2-1)*(sch+vtap/2-1))*2*cbi) * (w/sw*h/sh) / (w*h)</t>
    <phoneticPr fontId="7"/>
  </si>
  <si>
    <t>((sw*tap*(sh+tap-1)+sw*tap*sh)*bi+(2*csw*ctap*(csh+ctap-1)+2*csw*ctap*csh)*cbi) * (w/sw*h/sh)/ (w*h)</t>
    <phoneticPr fontId="7"/>
  </si>
  <si>
    <t>((w*(htap-1)*(v+tap-1)+w*(vtap-1)*h)*bi+2*cw*(htap/2-1)*(ch+vtap/2-1)+2*cw*(vtap/2-1)*ch)*cbi) / (w*h)</t>
    <phoneticPr fontId="7"/>
  </si>
  <si>
    <t>(((sw+htap-1)*(sh+vtap-1)*bi+2*(scw+htap/2-1)*(sch+vtap/2-1))*cbi) * (w/sw*h/sh) / (w*h)</t>
    <phoneticPr fontId="7"/>
  </si>
  <si>
    <t>(((sw+htap-1)*(sh+vtap-1)*bi+2*(scw+htap/2-1)*(sch+vtap/2-1))*cbi) * (w/sw*h/sh) / (w*h)</t>
    <phoneticPr fontId="7"/>
  </si>
  <si>
    <t>((sw*tap*(sh+tap-1)+sw*tap*sh)*bi+(2*csw*ctap*(csh+ctap-1)+2*csw*ctap*csh)*cbi) * (w/sw*h/sh)/ (w*h)</t>
    <phoneticPr fontId="7"/>
  </si>
  <si>
    <t>((w*(htap-1)*(v+tap-1)+w*(vtap-1)*h)*bi+2*cw*(htap/2-1)*(ch+vtap/2-1)+2*cw*(vtap/2-1)*ch)*cbi) / (w*h)</t>
    <phoneticPr fontId="7"/>
  </si>
  <si>
    <t>ARP0</t>
    <phoneticPr fontId="7"/>
  </si>
  <si>
    <t>ctap</t>
    <phoneticPr fontId="7"/>
  </si>
  <si>
    <t>IC0+MC</t>
    <phoneticPr fontId="7"/>
  </si>
  <si>
    <t>Mult [%]</t>
    <phoneticPr fontId="7"/>
  </si>
  <si>
    <t>bi</t>
    <phoneticPr fontId="7"/>
  </si>
  <si>
    <t>IC0</t>
    <phoneticPr fontId="7"/>
  </si>
  <si>
    <t>(IF(tap&gt;0, (w*h+tap*(w+h)*4)*bi, 0) + IF(ctap&gt;0, (cw*ch+ctap*(cw+ch)*4)*2*cbi, 0)) / (w*h)</t>
    <phoneticPr fontId="7"/>
  </si>
  <si>
    <t>((w+tap*h)*bi+(cw+ctap*ch)*2*cbi) / (w*h)</t>
    <phoneticPr fontId="7"/>
  </si>
  <si>
    <t>ATM10</t>
    <phoneticPr fontId="3"/>
  </si>
  <si>
    <t>ATM10</t>
    <phoneticPr fontId="3"/>
  </si>
  <si>
    <t>ATM10</t>
    <phoneticPr fontId="4"/>
  </si>
  <si>
    <t>ATM10</t>
    <phoneticPr fontId="3"/>
  </si>
  <si>
    <t>bits of wedgelet pattern index</t>
    <phoneticPr fontId="29" type="noConversion"/>
  </si>
  <si>
    <t>4x4</t>
    <phoneticPr fontId="29" type="noConversion"/>
  </si>
  <si>
    <t>8x8</t>
    <phoneticPr fontId="29" type="noConversion"/>
  </si>
  <si>
    <t>32x32</t>
    <phoneticPr fontId="29" type="noConversion"/>
  </si>
  <si>
    <t>64x64</t>
    <phoneticPr fontId="29" type="noConversion"/>
  </si>
  <si>
    <t>DMM 1</t>
    <phoneticPr fontId="29" type="noConversion"/>
  </si>
  <si>
    <t>DMM 4</t>
    <phoneticPr fontId="29" type="noConversion"/>
  </si>
  <si>
    <t>Angular</t>
    <phoneticPr fontId="29" type="noConversion"/>
  </si>
  <si>
    <t>Derive and assign depth partition value</t>
    <phoneticPr fontId="29" type="noConversion"/>
  </si>
  <si>
    <t>Segmental depth intra coding</t>
    <phoneticPr fontId="29" type="noConversion"/>
  </si>
  <si>
    <t>Contour pattern generation</t>
    <phoneticPr fontId="29" type="noConversion"/>
  </si>
  <si>
    <t>Predcited sample derviation</t>
    <phoneticPr fontId="29" type="noConversion"/>
  </si>
  <si>
    <t>LUT access</t>
    <phoneticPr fontId="29" type="noConversion"/>
  </si>
  <si>
    <t>Add/Sub/Comp</t>
    <phoneticPr fontId="29" type="noConversion"/>
  </si>
  <si>
    <t>8x8</t>
    <phoneticPr fontId="29" type="noConversion"/>
  </si>
  <si>
    <t>64x64</t>
    <phoneticPr fontId="29" type="noConversion"/>
  </si>
  <si>
    <t>Data storage requirement (bits)</t>
    <phoneticPr fontId="29" type="noConversion"/>
  </si>
  <si>
    <t>Wedgelet pattern</t>
    <phoneticPr fontId="29" type="noConversion"/>
  </si>
  <si>
    <t>Wedgelet pattern index</t>
    <phoneticPr fontId="29" type="noConversion"/>
  </si>
  <si>
    <t>Above and left reference samples</t>
    <phoneticPr fontId="29" type="noConversion"/>
  </si>
  <si>
    <t>Predicted DC</t>
    <phoneticPr fontId="29" type="noConversion"/>
  </si>
  <si>
    <t>Delta DC</t>
    <phoneticPr fontId="29" type="noConversion"/>
  </si>
  <si>
    <t>Reconstructed block</t>
    <phoneticPr fontId="29" type="noConversion"/>
  </si>
  <si>
    <t>Total</t>
    <phoneticPr fontId="29" type="noConversion"/>
  </si>
  <si>
    <t>Reconstructed Luma samples</t>
  </si>
  <si>
    <t>Contour pattern</t>
  </si>
  <si>
    <t>Above and left reference samples</t>
  </si>
  <si>
    <t>Predicted DC</t>
  </si>
  <si>
    <t>Delta DC</t>
  </si>
  <si>
    <t>8x8</t>
    <phoneticPr fontId="29" type="noConversion"/>
  </si>
  <si>
    <t>Reconstructed block</t>
    <phoneticPr fontId="29" type="noConversion"/>
  </si>
  <si>
    <t>32x32</t>
    <phoneticPr fontId="29" type="noConversion"/>
  </si>
  <si>
    <t>32x32</t>
    <phoneticPr fontId="29" type="noConversion"/>
  </si>
  <si>
    <t>Total</t>
  </si>
  <si>
    <t>4x4</t>
  </si>
  <si>
    <t>Data storage requirement (bits)</t>
  </si>
  <si>
    <t>Data transfer rate (bits)</t>
  </si>
  <si>
    <t>SDC_ON + DLT_ON</t>
    <phoneticPr fontId="29" type="noConversion"/>
  </si>
  <si>
    <t>DMM 1</t>
    <phoneticPr fontId="29" type="noConversion"/>
  </si>
  <si>
    <t>DMM 4</t>
    <phoneticPr fontId="29" type="noConversion"/>
  </si>
  <si>
    <t>Angular</t>
    <phoneticPr fontId="29" type="noConversion"/>
  </si>
  <si>
    <t>Total</t>
    <phoneticPr fontId="29" type="noConversion"/>
  </si>
  <si>
    <t>Mul</t>
    <phoneticPr fontId="29" type="noConversion"/>
  </si>
  <si>
    <t>Add/Sub</t>
    <phoneticPr fontId="29" type="noConversion"/>
  </si>
  <si>
    <t>LUT</t>
    <phoneticPr fontId="29" type="noConversion"/>
  </si>
  <si>
    <t>4x4</t>
    <phoneticPr fontId="29" type="noConversion"/>
  </si>
  <si>
    <t>8x8</t>
    <phoneticPr fontId="29" type="noConversion"/>
  </si>
  <si>
    <t>32x32</t>
    <phoneticPr fontId="29" type="noConversion"/>
  </si>
  <si>
    <t>64x64</t>
    <phoneticPr fontId="29" type="noConversion"/>
  </si>
  <si>
    <t>Data storage requirement (bits)</t>
    <phoneticPr fontId="29" type="noConversion"/>
  </si>
  <si>
    <t>number of PU in 64x64 block</t>
    <phoneticPr fontId="14" type="noConversion"/>
  </si>
  <si>
    <t>Complexity at 64x64 block level</t>
    <phoneticPr fontId="14" type="noConversion"/>
  </si>
  <si>
    <r>
      <t>Depth map modeling (DMM)</t>
    </r>
    <r>
      <rPr>
        <strike/>
        <sz val="11"/>
        <color theme="1"/>
        <rFont val="新細明體"/>
        <family val="1"/>
        <charset val="136"/>
        <scheme val="minor"/>
      </rPr>
      <t>/Simple depth coding (SDC)</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</si>
</sst>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76" formatCode="_-* #,##0_-;\-* #,##0_-;_-* &quot;-&quot;??_-;_-@_-"/>
    <numFmt numFmtId="177" formatCode="#,##0_ "/>
    <numFmt numFmtId="178" formatCode="0.0_ "/>
  </numFmts>
  <fonts count="36">
    <font>
      <sz val="11"/>
      <color theme="1"/>
      <name val="新細明體"/>
      <family val="3"/>
      <charset val="128"/>
      <scheme val="minor"/>
    </font>
    <font>
      <sz val="12"/>
      <color theme="1"/>
      <name val="新細明體"/>
      <family val="2"/>
      <charset val="136"/>
      <scheme val="minor"/>
    </font>
    <font>
      <sz val="12"/>
      <color theme="1"/>
      <name val="新細明體"/>
      <family val="2"/>
      <charset val="136"/>
      <scheme val="minor"/>
    </font>
    <font>
      <sz val="6"/>
      <name val="ＭＳ Ｐゴシック"/>
      <family val="3"/>
      <charset val="128"/>
    </font>
    <font>
      <sz val="6"/>
      <name val="ＭＳ Ｐゴシック"/>
      <family val="3"/>
      <charset val="128"/>
    </font>
    <font>
      <sz val="6"/>
      <name val="ＭＳ Ｐゴシック"/>
      <family val="3"/>
      <charset val="128"/>
    </font>
    <font>
      <b/>
      <sz val="11"/>
      <color theme="1"/>
      <name val="新細明體"/>
      <family val="3"/>
      <charset val="128"/>
      <scheme val="minor"/>
    </font>
    <font>
      <sz val="6"/>
      <name val="新細明體"/>
      <family val="3"/>
      <charset val="128"/>
      <scheme val="minor"/>
    </font>
    <font>
      <sz val="11"/>
      <color rgb="FF1F497D"/>
      <name val="Calibri"/>
      <family val="2"/>
    </font>
    <font>
      <sz val="10"/>
      <name val="Arial"/>
      <family val="2"/>
    </font>
    <font>
      <sz val="8"/>
      <name val="돋움"/>
      <family val="3"/>
      <charset val="129"/>
    </font>
    <font>
      <b/>
      <sz val="11"/>
      <name val="新細明體"/>
      <family val="3"/>
      <charset val="128"/>
      <scheme val="minor"/>
    </font>
    <font>
      <sz val="9"/>
      <color indexed="81"/>
      <name val="Tahoma"/>
      <family val="2"/>
    </font>
    <font>
      <b/>
      <sz val="9"/>
      <color indexed="81"/>
      <name val="Tahoma"/>
      <family val="2"/>
    </font>
    <font>
      <sz val="9"/>
      <name val="新細明體"/>
      <family val="3"/>
      <charset val="136"/>
      <scheme val="minor"/>
    </font>
    <font>
      <strike/>
      <sz val="11"/>
      <color theme="1"/>
      <name val="新細明體"/>
      <family val="3"/>
      <charset val="128"/>
      <scheme val="minor"/>
    </font>
    <font>
      <sz val="12"/>
      <color theme="1"/>
      <name val="新細明體"/>
      <family val="2"/>
      <scheme val="minor"/>
    </font>
    <font>
      <sz val="12"/>
      <color theme="1"/>
      <name val="Arial"/>
      <family val="2"/>
    </font>
    <font>
      <sz val="12"/>
      <color theme="1"/>
      <name val="Arial Unicode MS"/>
      <family val="2"/>
      <charset val="136"/>
    </font>
    <font>
      <strike/>
      <sz val="11"/>
      <color theme="1"/>
      <name val="新細明體"/>
      <family val="1"/>
      <charset val="136"/>
      <scheme val="minor"/>
    </font>
    <font>
      <sz val="11"/>
      <name val="新細明體"/>
      <family val="3"/>
      <charset val="128"/>
      <scheme val="minor"/>
    </font>
    <font>
      <sz val="11"/>
      <name val="新細明體"/>
      <family val="1"/>
      <charset val="136"/>
      <scheme val="minor"/>
    </font>
    <font>
      <sz val="12"/>
      <color theme="1"/>
      <name val="新細明體"/>
      <family val="4"/>
      <charset val="136"/>
      <scheme val="minor"/>
    </font>
    <font>
      <sz val="9"/>
      <name val="新細明體"/>
      <family val="1"/>
      <charset val="136"/>
    </font>
    <font>
      <sz val="9"/>
      <name val="標楷體"/>
      <family val="4"/>
      <charset val="136"/>
    </font>
    <font>
      <b/>
      <sz val="12"/>
      <color theme="1"/>
      <name val="Arial"/>
      <family val="2"/>
    </font>
    <font>
      <sz val="11"/>
      <color theme="1"/>
      <name val="Arial"/>
      <family val="2"/>
    </font>
    <font>
      <sz val="12"/>
      <color theme="1"/>
      <name val="新細明體"/>
      <family val="1"/>
      <charset val="136"/>
      <scheme val="minor"/>
    </font>
    <font>
      <sz val="12"/>
      <color theme="1"/>
      <name val="Times New Roman"/>
      <family val="1"/>
    </font>
    <font>
      <sz val="9"/>
      <name val="新細明體"/>
      <family val="2"/>
      <charset val="136"/>
      <scheme val="minor"/>
    </font>
    <font>
      <b/>
      <sz val="12"/>
      <color theme="1"/>
      <name val="Times New Roman"/>
      <family val="1"/>
    </font>
    <font>
      <b/>
      <sz val="12"/>
      <name val="Times New Roman"/>
      <family val="1"/>
    </font>
    <font>
      <sz val="11"/>
      <color theme="1" tint="0.499984740745262"/>
      <name val="新細明體"/>
      <family val="3"/>
      <charset val="128"/>
      <scheme val="minor"/>
    </font>
    <font>
      <sz val="11"/>
      <color theme="0" tint="-0.499984740745262"/>
      <name val="新細明體"/>
      <family val="3"/>
      <charset val="128"/>
      <scheme val="minor"/>
    </font>
    <font>
      <b/>
      <sz val="12"/>
      <color rgb="FFFF0000"/>
      <name val="Times New Roman"/>
      <family val="1"/>
    </font>
    <font>
      <sz val="12"/>
      <name val="Times New Roman"/>
      <family val="1"/>
    </font>
  </fonts>
  <fills count="14">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4" tint="0.59996337778862885"/>
        <bgColor indexed="64"/>
      </patternFill>
    </fill>
    <fill>
      <patternFill patternType="solid">
        <fgColor rgb="FFCC99FF"/>
        <bgColor indexed="64"/>
      </patternFill>
    </fill>
    <fill>
      <patternFill patternType="solid">
        <fgColor theme="5" tint="0.79998168889431442"/>
        <bgColor indexed="64"/>
      </patternFill>
    </fill>
    <fill>
      <patternFill patternType="solid">
        <fgColor theme="9" tint="0.59999389629810485"/>
        <bgColor indexed="64"/>
      </patternFill>
    </fill>
  </fills>
  <borders count="59">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9">
    <xf numFmtId="0" fontId="0" fillId="0" borderId="0">
      <alignment vertical="center"/>
    </xf>
    <xf numFmtId="0" fontId="9" fillId="0" borderId="0"/>
    <xf numFmtId="0" fontId="16" fillId="0" borderId="0"/>
    <xf numFmtId="0" fontId="22" fillId="0" borderId="0"/>
    <xf numFmtId="43" fontId="22" fillId="0" borderId="0" applyFont="0" applyFill="0" applyBorder="0" applyAlignment="0" applyProtection="0">
      <alignment vertical="center"/>
    </xf>
    <xf numFmtId="0" fontId="27" fillId="0" borderId="0"/>
    <xf numFmtId="0" fontId="2" fillId="0" borderId="0">
      <alignment vertical="center"/>
    </xf>
    <xf numFmtId="0" fontId="22" fillId="0" borderId="0"/>
    <xf numFmtId="0" fontId="1" fillId="0" borderId="0">
      <alignment vertical="center"/>
    </xf>
  </cellStyleXfs>
  <cellXfs count="394">
    <xf numFmtId="0" fontId="0" fillId="0" borderId="0" xfId="0">
      <alignment vertical="center"/>
    </xf>
    <xf numFmtId="0" fontId="0" fillId="0" borderId="1" xfId="0" applyBorder="1">
      <alignment vertical="center"/>
    </xf>
    <xf numFmtId="0" fontId="0" fillId="0" borderId="0" xfId="0" applyBorder="1" applyAlignment="1">
      <alignment vertical="center" wrapText="1"/>
    </xf>
    <xf numFmtId="0" fontId="0" fillId="0" borderId="0" xfId="0" applyBorder="1">
      <alignment vertical="center"/>
    </xf>
    <xf numFmtId="0" fontId="0" fillId="0" borderId="2" xfId="0" applyBorder="1">
      <alignment vertical="center"/>
    </xf>
    <xf numFmtId="0" fontId="0" fillId="0" borderId="5" xfId="0" applyBorder="1">
      <alignment vertical="center"/>
    </xf>
    <xf numFmtId="0" fontId="0" fillId="0" borderId="6" xfId="0" applyBorder="1" applyAlignment="1">
      <alignment vertical="center" wrapText="1"/>
    </xf>
    <xf numFmtId="0" fontId="0" fillId="0" borderId="1" xfId="0" applyFill="1" applyBorder="1">
      <alignment vertical="center"/>
    </xf>
    <xf numFmtId="0" fontId="0" fillId="0" borderId="0" xfId="0" applyFill="1" applyBorder="1">
      <alignment vertical="center"/>
    </xf>
    <xf numFmtId="0" fontId="0" fillId="0" borderId="2" xfId="0" applyFill="1" applyBorder="1">
      <alignment vertical="center"/>
    </xf>
    <xf numFmtId="0" fontId="0" fillId="2" borderId="7" xfId="0" applyFill="1" applyBorder="1">
      <alignment vertical="center"/>
    </xf>
    <xf numFmtId="0" fontId="0" fillId="3" borderId="7" xfId="0" applyFill="1" applyBorder="1">
      <alignment vertical="center"/>
    </xf>
    <xf numFmtId="0" fontId="0" fillId="4" borderId="7" xfId="0" applyFill="1" applyBorder="1">
      <alignment vertical="center"/>
    </xf>
    <xf numFmtId="0" fontId="6" fillId="5" borderId="7" xfId="0" applyFont="1" applyFill="1" applyBorder="1" applyAlignment="1">
      <alignment horizontal="center" vertical="center"/>
    </xf>
    <xf numFmtId="0" fontId="0" fillId="0" borderId="8" xfId="0" applyBorder="1">
      <alignment vertical="center"/>
    </xf>
    <xf numFmtId="0" fontId="0" fillId="0" borderId="10" xfId="0" applyFill="1"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4" xfId="0" applyBorder="1">
      <alignment vertical="center"/>
    </xf>
    <xf numFmtId="0" fontId="0" fillId="0" borderId="17" xfId="0" applyBorder="1">
      <alignment vertical="center"/>
    </xf>
    <xf numFmtId="0" fontId="0" fillId="0" borderId="18" xfId="0" applyBorder="1">
      <alignment vertical="center"/>
    </xf>
    <xf numFmtId="0" fontId="0" fillId="0" borderId="0" xfId="0" applyFill="1" applyBorder="1" applyAlignment="1">
      <alignment vertical="center" wrapText="1"/>
    </xf>
    <xf numFmtId="0" fontId="0" fillId="0" borderId="12" xfId="0" applyBorder="1" applyAlignment="1">
      <alignment vertical="center" wrapText="1"/>
    </xf>
    <xf numFmtId="0" fontId="0" fillId="0" borderId="12" xfId="0" applyFill="1" applyBorder="1" applyAlignment="1">
      <alignment vertical="center" wrapText="1"/>
    </xf>
    <xf numFmtId="0" fontId="0" fillId="0" borderId="28" xfId="0" applyBorder="1">
      <alignment vertical="center"/>
    </xf>
    <xf numFmtId="0" fontId="0" fillId="0" borderId="29" xfId="0" applyBorder="1" applyAlignment="1">
      <alignment vertical="center" wrapText="1"/>
    </xf>
    <xf numFmtId="0" fontId="0" fillId="0" borderId="28" xfId="0" applyFill="1" applyBorder="1">
      <alignment vertical="center"/>
    </xf>
    <xf numFmtId="0" fontId="0" fillId="0" borderId="9" xfId="0" applyFill="1" applyBorder="1">
      <alignment vertical="center"/>
    </xf>
    <xf numFmtId="0" fontId="0" fillId="0" borderId="31" xfId="0" applyFill="1" applyBorder="1" applyAlignment="1">
      <alignment vertical="center" wrapText="1"/>
    </xf>
    <xf numFmtId="0" fontId="0" fillId="0" borderId="28" xfId="0" applyBorder="1" applyAlignment="1">
      <alignment vertical="center" wrapText="1"/>
    </xf>
    <xf numFmtId="0" fontId="0" fillId="0" borderId="33" xfId="0" applyFill="1" applyBorder="1" applyAlignment="1">
      <alignment vertical="center" wrapText="1"/>
    </xf>
    <xf numFmtId="0" fontId="6" fillId="0" borderId="33" xfId="0" applyFont="1" applyBorder="1" applyAlignment="1">
      <alignment vertical="center" wrapText="1"/>
    </xf>
    <xf numFmtId="0" fontId="0" fillId="0" borderId="35" xfId="0" applyFont="1" applyBorder="1">
      <alignment vertical="center"/>
    </xf>
    <xf numFmtId="0" fontId="0" fillId="0" borderId="32" xfId="0" applyFont="1" applyBorder="1">
      <alignment vertical="center"/>
    </xf>
    <xf numFmtId="0" fontId="0" fillId="0" borderId="24" xfId="0" applyBorder="1" applyAlignment="1">
      <alignment vertical="center" wrapText="1"/>
    </xf>
    <xf numFmtId="0" fontId="0" fillId="0" borderId="34" xfId="0" applyBorder="1">
      <alignment vertical="center"/>
    </xf>
    <xf numFmtId="0" fontId="0" fillId="0" borderId="32" xfId="0" applyBorder="1" applyAlignment="1">
      <alignment vertical="center" wrapText="1"/>
    </xf>
    <xf numFmtId="0" fontId="0" fillId="0" borderId="41" xfId="0" applyFill="1" applyBorder="1" applyAlignment="1">
      <alignment vertical="center" wrapText="1"/>
    </xf>
    <xf numFmtId="0" fontId="6" fillId="0" borderId="41" xfId="0" applyFont="1" applyBorder="1" applyAlignment="1">
      <alignment vertical="center" wrapText="1"/>
    </xf>
    <xf numFmtId="0" fontId="0" fillId="0" borderId="29" xfId="0" applyFill="1" applyBorder="1" applyAlignment="1">
      <alignment vertical="center" wrapText="1"/>
    </xf>
    <xf numFmtId="0" fontId="0" fillId="0" borderId="28" xfId="0" applyFill="1" applyBorder="1" applyAlignment="1">
      <alignment vertical="center" wrapText="1"/>
    </xf>
    <xf numFmtId="0" fontId="8" fillId="0" borderId="0" xfId="0" applyFont="1">
      <alignment vertical="center"/>
    </xf>
    <xf numFmtId="0" fontId="0" fillId="0" borderId="38" xfId="0" applyBorder="1">
      <alignment vertical="center"/>
    </xf>
    <xf numFmtId="0" fontId="0" fillId="2" borderId="38" xfId="0" applyFill="1" applyBorder="1">
      <alignment vertical="center"/>
    </xf>
    <xf numFmtId="0" fontId="0" fillId="2" borderId="0" xfId="0" applyFill="1">
      <alignment vertical="center"/>
    </xf>
    <xf numFmtId="0" fontId="9" fillId="4" borderId="38" xfId="1" applyFill="1" applyBorder="1"/>
    <xf numFmtId="0" fontId="0" fillId="7" borderId="38" xfId="0" applyFill="1" applyBorder="1">
      <alignment vertical="center"/>
    </xf>
    <xf numFmtId="0" fontId="0" fillId="7" borderId="37" xfId="0" applyFill="1" applyBorder="1">
      <alignment vertical="center"/>
    </xf>
    <xf numFmtId="0" fontId="0" fillId="7" borderId="36" xfId="0" applyFill="1" applyBorder="1">
      <alignment vertical="center"/>
    </xf>
    <xf numFmtId="0" fontId="6" fillId="5" borderId="21" xfId="0" applyFont="1" applyFill="1" applyBorder="1">
      <alignment vertical="center"/>
    </xf>
    <xf numFmtId="0" fontId="6" fillId="5" borderId="14" xfId="0" applyFont="1" applyFill="1" applyBorder="1">
      <alignment vertical="center"/>
    </xf>
    <xf numFmtId="0" fontId="0" fillId="0" borderId="37" xfId="0" applyBorder="1">
      <alignment vertical="center"/>
    </xf>
    <xf numFmtId="0" fontId="0" fillId="0" borderId="36" xfId="0" applyBorder="1">
      <alignment vertical="center"/>
    </xf>
    <xf numFmtId="0" fontId="0" fillId="2" borderId="14" xfId="0" applyFill="1" applyBorder="1">
      <alignment vertical="center"/>
    </xf>
    <xf numFmtId="0" fontId="9" fillId="4" borderId="38" xfId="1" applyFill="1" applyBorder="1" applyAlignment="1"/>
    <xf numFmtId="0" fontId="0" fillId="4" borderId="0" xfId="0" applyFill="1">
      <alignment vertical="center"/>
    </xf>
    <xf numFmtId="0" fontId="0" fillId="3" borderId="0" xfId="0" applyFill="1">
      <alignment vertical="center"/>
    </xf>
    <xf numFmtId="0" fontId="0" fillId="0" borderId="42" xfId="0" applyBorder="1">
      <alignment vertical="center"/>
    </xf>
    <xf numFmtId="0" fontId="0" fillId="0" borderId="43" xfId="0" applyBorder="1">
      <alignment vertical="center"/>
    </xf>
    <xf numFmtId="0" fontId="0" fillId="7" borderId="42" xfId="0" applyFill="1" applyBorder="1">
      <alignment vertical="center"/>
    </xf>
    <xf numFmtId="0" fontId="0" fillId="0" borderId="29" xfId="0" applyBorder="1">
      <alignment vertical="center"/>
    </xf>
    <xf numFmtId="0" fontId="0" fillId="0" borderId="30" xfId="0" applyBorder="1">
      <alignment vertical="center"/>
    </xf>
    <xf numFmtId="0" fontId="0" fillId="2" borderId="21" xfId="0" applyFill="1" applyBorder="1">
      <alignment vertical="center"/>
    </xf>
    <xf numFmtId="0" fontId="0" fillId="2" borderId="14" xfId="0" applyFont="1" applyFill="1" applyBorder="1">
      <alignment vertical="center"/>
    </xf>
    <xf numFmtId="0" fontId="0" fillId="2" borderId="22" xfId="0" applyFont="1" applyFill="1" applyBorder="1">
      <alignment vertical="center"/>
    </xf>
    <xf numFmtId="0" fontId="6" fillId="0" borderId="0" xfId="0" applyFont="1" applyFill="1" applyBorder="1">
      <alignment vertical="center"/>
    </xf>
    <xf numFmtId="0" fontId="0" fillId="3" borderId="38" xfId="0" applyFill="1" applyBorder="1">
      <alignment vertical="center"/>
    </xf>
    <xf numFmtId="0" fontId="0" fillId="8" borderId="0" xfId="0" applyFill="1">
      <alignment vertical="center"/>
    </xf>
    <xf numFmtId="0" fontId="6" fillId="5" borderId="37" xfId="0" applyFont="1" applyFill="1" applyBorder="1">
      <alignment vertical="center"/>
    </xf>
    <xf numFmtId="0" fontId="6" fillId="5" borderId="42" xfId="0" applyFont="1" applyFill="1" applyBorder="1">
      <alignment vertical="center"/>
    </xf>
    <xf numFmtId="0" fontId="11" fillId="5" borderId="22" xfId="1" applyFont="1" applyFill="1" applyBorder="1"/>
    <xf numFmtId="0" fontId="11" fillId="5" borderId="14" xfId="1" applyFont="1" applyFill="1" applyBorder="1"/>
    <xf numFmtId="0" fontId="0" fillId="0" borderId="37" xfId="0" applyFont="1" applyBorder="1">
      <alignment vertical="center"/>
    </xf>
    <xf numFmtId="0" fontId="0" fillId="0" borderId="38" xfId="0" applyFont="1" applyBorder="1">
      <alignment vertical="center"/>
    </xf>
    <xf numFmtId="0" fontId="0" fillId="0" borderId="36" xfId="0" applyFont="1" applyBorder="1">
      <alignment vertical="center"/>
    </xf>
    <xf numFmtId="0" fontId="0" fillId="0" borderId="38" xfId="0" applyFill="1" applyBorder="1">
      <alignment vertical="center"/>
    </xf>
    <xf numFmtId="0" fontId="0" fillId="2" borderId="22" xfId="0" applyFill="1" applyBorder="1">
      <alignment vertical="center"/>
    </xf>
    <xf numFmtId="0" fontId="0" fillId="0" borderId="0" xfId="0" applyBorder="1" applyAlignment="1">
      <alignment horizontal="left" vertical="center" wrapText="1" indent="1"/>
    </xf>
    <xf numFmtId="0" fontId="0" fillId="6" borderId="4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0" borderId="7"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50" xfId="0" applyFill="1" applyBorder="1" applyAlignment="1">
      <alignment horizontal="center" vertical="center" wrapText="1"/>
    </xf>
    <xf numFmtId="0" fontId="0" fillId="0" borderId="41" xfId="0" applyBorder="1" applyAlignment="1">
      <alignment horizontal="center" vertical="center" wrapText="1"/>
    </xf>
    <xf numFmtId="0" fontId="0" fillId="0" borderId="49"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0" fillId="0" borderId="34"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5" xfId="0" applyBorder="1" applyAlignment="1">
      <alignment horizontal="center" vertical="center" wrapText="1"/>
    </xf>
    <xf numFmtId="0" fontId="0" fillId="0" borderId="0" xfId="0" applyAlignment="1">
      <alignment vertical="center" wrapText="1"/>
    </xf>
    <xf numFmtId="0" fontId="0"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15"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0" borderId="5" xfId="0" applyFill="1" applyBorder="1">
      <alignment vertical="center"/>
    </xf>
    <xf numFmtId="0" fontId="17" fillId="0" borderId="0" xfId="2" applyFont="1"/>
    <xf numFmtId="0" fontId="17" fillId="0" borderId="12" xfId="2" applyFont="1" applyBorder="1"/>
    <xf numFmtId="0" fontId="18" fillId="0" borderId="0" xfId="2" applyFont="1"/>
    <xf numFmtId="0" fontId="18" fillId="0" borderId="0" xfId="2" applyFont="1" applyBorder="1"/>
    <xf numFmtId="0" fontId="0" fillId="0" borderId="26" xfId="0" applyBorder="1">
      <alignment vertical="center"/>
    </xf>
    <xf numFmtId="0" fontId="15" fillId="0" borderId="5" xfId="0" applyFont="1" applyBorder="1">
      <alignment vertical="center"/>
    </xf>
    <xf numFmtId="0" fontId="19" fillId="0" borderId="2" xfId="0" applyFont="1" applyBorder="1">
      <alignment vertical="center"/>
    </xf>
    <xf numFmtId="0" fontId="19" fillId="0" borderId="0" xfId="0" applyFont="1">
      <alignment vertical="center"/>
    </xf>
    <xf numFmtId="0" fontId="19" fillId="0" borderId="1" xfId="0" applyFont="1" applyFill="1" applyBorder="1">
      <alignment vertical="center"/>
    </xf>
    <xf numFmtId="0" fontId="19" fillId="0" borderId="12" xfId="0" applyFont="1" applyFill="1" applyBorder="1" applyAlignment="1">
      <alignment vertical="center" wrapText="1"/>
    </xf>
    <xf numFmtId="0" fontId="19" fillId="0" borderId="0" xfId="0" applyFont="1" applyFill="1" applyBorder="1" applyAlignment="1">
      <alignment vertical="center" wrapText="1"/>
    </xf>
    <xf numFmtId="0" fontId="19" fillId="0" borderId="44"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5" xfId="0" applyFont="1" applyBorder="1" applyAlignment="1">
      <alignment horizontal="center" vertical="center" wrapText="1"/>
    </xf>
    <xf numFmtId="0" fontId="15" fillId="0" borderId="16" xfId="0" applyFont="1" applyBorder="1">
      <alignment vertical="center"/>
    </xf>
    <xf numFmtId="0" fontId="19" fillId="0" borderId="13" xfId="0" applyFont="1" applyBorder="1">
      <alignment vertical="center"/>
    </xf>
    <xf numFmtId="0" fontId="19" fillId="0" borderId="15" xfId="0" applyFont="1" applyBorder="1">
      <alignment vertical="center"/>
    </xf>
    <xf numFmtId="0" fontId="19" fillId="0" borderId="21" xfId="0" applyFont="1" applyBorder="1" applyAlignment="1">
      <alignment vertical="center" wrapText="1"/>
    </xf>
    <xf numFmtId="0" fontId="19" fillId="0" borderId="14" xfId="0" applyFont="1" applyBorder="1" applyAlignment="1">
      <alignment vertical="center" wrapText="1"/>
    </xf>
    <xf numFmtId="0" fontId="19" fillId="0" borderId="46" xfId="0" applyFont="1" applyBorder="1" applyAlignment="1">
      <alignment horizontal="center" vertical="center" wrapText="1"/>
    </xf>
    <xf numFmtId="0" fontId="19" fillId="0" borderId="50" xfId="0" applyFont="1" applyBorder="1" applyAlignment="1">
      <alignment horizontal="center" vertical="center" wrapText="1"/>
    </xf>
    <xf numFmtId="0" fontId="19" fillId="0" borderId="48" xfId="0" applyFont="1" applyBorder="1" applyAlignment="1">
      <alignment horizontal="center" vertical="center" wrapText="1"/>
    </xf>
    <xf numFmtId="0" fontId="19" fillId="0" borderId="48"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19" fillId="0" borderId="51" xfId="0" applyFont="1" applyBorder="1" applyAlignment="1">
      <alignment horizontal="center" vertical="center" wrapText="1"/>
    </xf>
    <xf numFmtId="0" fontId="19" fillId="0" borderId="47" xfId="0" applyFont="1" applyBorder="1" applyAlignment="1">
      <alignment horizontal="center" vertical="center" wrapText="1"/>
    </xf>
    <xf numFmtId="0" fontId="20" fillId="0" borderId="26"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17" fillId="0" borderId="0" xfId="3" applyFont="1"/>
    <xf numFmtId="0" fontId="25" fillId="0" borderId="0" xfId="3" applyFont="1"/>
    <xf numFmtId="0" fontId="17" fillId="9" borderId="7" xfId="3" applyFont="1" applyFill="1" applyBorder="1"/>
    <xf numFmtId="0" fontId="17" fillId="0" borderId="7" xfId="3" applyFont="1" applyBorder="1"/>
    <xf numFmtId="0" fontId="26" fillId="9" borderId="7" xfId="3" applyFont="1" applyFill="1" applyBorder="1"/>
    <xf numFmtId="176" fontId="17" fillId="0" borderId="7" xfId="4" applyNumberFormat="1" applyFont="1" applyBorder="1" applyAlignment="1"/>
    <xf numFmtId="176" fontId="17" fillId="0" borderId="7" xfId="3" applyNumberFormat="1" applyFont="1" applyBorder="1"/>
    <xf numFmtId="176" fontId="17" fillId="0" borderId="0" xfId="3" applyNumberFormat="1" applyFont="1"/>
    <xf numFmtId="0" fontId="18" fillId="0" borderId="7" xfId="2" applyFont="1" applyBorder="1"/>
    <xf numFmtId="0" fontId="18" fillId="0" borderId="7" xfId="2" applyFont="1" applyFill="1" applyBorder="1"/>
    <xf numFmtId="0" fontId="18" fillId="0" borderId="0" xfId="2" applyFont="1" applyFill="1" applyBorder="1"/>
    <xf numFmtId="0" fontId="17" fillId="0" borderId="0" xfId="2" applyFont="1" applyBorder="1"/>
    <xf numFmtId="0" fontId="17" fillId="0" borderId="0" xfId="2" applyFont="1" applyFill="1" applyBorder="1" applyAlignment="1"/>
    <xf numFmtId="0" fontId="17" fillId="0" borderId="0" xfId="2" applyFont="1" applyFill="1" applyBorder="1"/>
    <xf numFmtId="0" fontId="17" fillId="0" borderId="7" xfId="2" applyFont="1" applyBorder="1"/>
    <xf numFmtId="0" fontId="17" fillId="0" borderId="7" xfId="2" applyFont="1" applyFill="1" applyBorder="1"/>
    <xf numFmtId="0" fontId="17" fillId="9" borderId="4" xfId="3" applyFont="1" applyFill="1" applyBorder="1"/>
    <xf numFmtId="0" fontId="17" fillId="9" borderId="3" xfId="3" applyFont="1" applyFill="1" applyBorder="1"/>
    <xf numFmtId="0" fontId="28" fillId="0" borderId="0" xfId="5" applyFont="1" applyAlignment="1">
      <alignment horizontal="center"/>
    </xf>
    <xf numFmtId="0" fontId="28" fillId="0" borderId="0" xfId="6" applyFont="1">
      <alignment vertical="center"/>
    </xf>
    <xf numFmtId="0" fontId="28" fillId="0" borderId="0" xfId="5" applyFont="1"/>
    <xf numFmtId="0" fontId="28" fillId="0" borderId="0" xfId="6" applyFont="1" applyAlignment="1">
      <alignment horizontal="center" vertical="center"/>
    </xf>
    <xf numFmtId="0" fontId="30" fillId="0" borderId="0" xfId="7" applyFont="1"/>
    <xf numFmtId="0" fontId="28" fillId="10" borderId="7" xfId="6" applyFont="1" applyFill="1" applyBorder="1">
      <alignment vertical="center"/>
    </xf>
    <xf numFmtId="0" fontId="28" fillId="10" borderId="4" xfId="6" applyFont="1" applyFill="1" applyBorder="1" applyAlignment="1">
      <alignment horizontal="center" vertical="center"/>
    </xf>
    <xf numFmtId="0" fontId="28" fillId="10" borderId="7" xfId="6" applyFont="1" applyFill="1" applyBorder="1" applyAlignment="1">
      <alignment horizontal="center" vertical="center"/>
    </xf>
    <xf numFmtId="177" fontId="28" fillId="0" borderId="7" xfId="6" applyNumberFormat="1" applyFont="1" applyBorder="1" applyAlignment="1">
      <alignment horizontal="center" vertical="center"/>
    </xf>
    <xf numFmtId="0" fontId="30" fillId="11" borderId="7" xfId="7" applyFont="1" applyFill="1" applyBorder="1"/>
    <xf numFmtId="0" fontId="28" fillId="11" borderId="7" xfId="6" applyFont="1" applyFill="1" applyBorder="1">
      <alignment vertical="center"/>
    </xf>
    <xf numFmtId="0" fontId="28" fillId="11" borderId="7" xfId="6" applyFont="1" applyFill="1" applyBorder="1" applyAlignment="1">
      <alignment vertical="center"/>
    </xf>
    <xf numFmtId="0" fontId="28" fillId="10" borderId="26" xfId="6" applyFont="1" applyFill="1" applyBorder="1">
      <alignment vertical="center"/>
    </xf>
    <xf numFmtId="0" fontId="28" fillId="10" borderId="4" xfId="6" applyFont="1" applyFill="1" applyBorder="1" applyAlignment="1">
      <alignment vertical="center"/>
    </xf>
    <xf numFmtId="177" fontId="28" fillId="0" borderId="7" xfId="6" applyNumberFormat="1" applyFont="1" applyBorder="1" applyAlignment="1">
      <alignment vertical="center"/>
    </xf>
    <xf numFmtId="0" fontId="30" fillId="11" borderId="4" xfId="6" applyFont="1" applyFill="1" applyBorder="1" applyAlignment="1">
      <alignment vertical="center"/>
    </xf>
    <xf numFmtId="0" fontId="30" fillId="11" borderId="53" xfId="6" applyFont="1" applyFill="1" applyBorder="1" applyAlignment="1">
      <alignment vertical="center"/>
    </xf>
    <xf numFmtId="0" fontId="30" fillId="11" borderId="3" xfId="6" applyFont="1" applyFill="1" applyBorder="1" applyAlignment="1">
      <alignment vertical="center"/>
    </xf>
    <xf numFmtId="0" fontId="28" fillId="11" borderId="4" xfId="6" applyFont="1" applyFill="1" applyBorder="1" applyAlignment="1">
      <alignment vertical="center"/>
    </xf>
    <xf numFmtId="0" fontId="28" fillId="11" borderId="53" xfId="6" applyFont="1" applyFill="1" applyBorder="1" applyAlignment="1">
      <alignment vertical="center"/>
    </xf>
    <xf numFmtId="0" fontId="28" fillId="11" borderId="3" xfId="6" applyFont="1" applyFill="1" applyBorder="1" applyAlignment="1">
      <alignment vertical="center"/>
    </xf>
    <xf numFmtId="0" fontId="28" fillId="10" borderId="54" xfId="6" applyFont="1" applyFill="1" applyBorder="1" applyAlignment="1">
      <alignment vertical="center"/>
    </xf>
    <xf numFmtId="0" fontId="28" fillId="10" borderId="27" xfId="6" applyFont="1" applyFill="1" applyBorder="1">
      <alignment vertical="center"/>
    </xf>
    <xf numFmtId="0" fontId="28" fillId="10" borderId="27" xfId="6" applyFont="1" applyFill="1" applyBorder="1" applyAlignment="1">
      <alignment vertical="center"/>
    </xf>
    <xf numFmtId="0" fontId="28" fillId="10" borderId="55" xfId="6" applyFont="1" applyFill="1" applyBorder="1" applyAlignment="1">
      <alignment vertical="center"/>
    </xf>
    <xf numFmtId="0" fontId="28" fillId="10" borderId="3" xfId="6" applyFont="1" applyFill="1" applyBorder="1" applyAlignment="1">
      <alignment vertical="center"/>
    </xf>
    <xf numFmtId="0" fontId="28" fillId="10" borderId="53" xfId="6" applyFont="1" applyFill="1" applyBorder="1" applyAlignment="1">
      <alignment vertical="center"/>
    </xf>
    <xf numFmtId="0" fontId="31" fillId="11" borderId="4" xfId="6" applyFont="1" applyFill="1" applyBorder="1" applyAlignment="1">
      <alignment vertical="center"/>
    </xf>
    <xf numFmtId="0" fontId="31" fillId="11" borderId="53" xfId="6" applyFont="1" applyFill="1" applyBorder="1" applyAlignment="1">
      <alignment vertical="center"/>
    </xf>
    <xf numFmtId="0" fontId="31" fillId="11" borderId="3" xfId="6" applyFont="1" applyFill="1" applyBorder="1" applyAlignment="1">
      <alignment vertical="center"/>
    </xf>
    <xf numFmtId="0" fontId="0" fillId="12" borderId="0" xfId="0" applyFont="1" applyFill="1" applyBorder="1">
      <alignment vertical="center"/>
    </xf>
    <xf numFmtId="0" fontId="0" fillId="12" borderId="0" xfId="0" applyFill="1" applyBorder="1">
      <alignment vertical="center"/>
    </xf>
    <xf numFmtId="0" fontId="0" fillId="0" borderId="7" xfId="0" applyFont="1" applyFill="1" applyBorder="1">
      <alignment vertical="center"/>
    </xf>
    <xf numFmtId="0" fontId="0" fillId="0" borderId="4" xfId="0" applyFill="1" applyBorder="1">
      <alignment vertical="center"/>
    </xf>
    <xf numFmtId="0" fontId="0" fillId="0" borderId="3" xfId="0" applyFill="1" applyBorder="1">
      <alignment vertical="center"/>
    </xf>
    <xf numFmtId="0" fontId="0" fillId="0" borderId="53" xfId="0" applyFont="1" applyFill="1" applyBorder="1">
      <alignment vertical="center"/>
    </xf>
    <xf numFmtId="0" fontId="0" fillId="0" borderId="3" xfId="0" applyFont="1" applyFill="1" applyBorder="1">
      <alignment vertical="center"/>
    </xf>
    <xf numFmtId="0" fontId="0" fillId="0" borderId="53" xfId="0" applyFill="1" applyBorder="1">
      <alignment vertical="center"/>
    </xf>
    <xf numFmtId="0" fontId="0" fillId="0" borderId="4" xfId="0" applyFont="1" applyFill="1" applyBorder="1">
      <alignment vertical="center"/>
    </xf>
    <xf numFmtId="0" fontId="0" fillId="0" borderId="0" xfId="0" applyFont="1" applyFill="1" applyBorder="1">
      <alignment vertical="center"/>
    </xf>
    <xf numFmtId="0" fontId="0" fillId="0" borderId="1" xfId="0" applyFont="1" applyFill="1" applyBorder="1">
      <alignment vertical="center"/>
    </xf>
    <xf numFmtId="0" fontId="0" fillId="0" borderId="2" xfId="0" applyFont="1" applyFill="1" applyBorder="1">
      <alignment vertical="center"/>
    </xf>
    <xf numFmtId="178" fontId="0" fillId="0" borderId="0" xfId="0" applyNumberFormat="1" applyFont="1" applyFill="1" applyBorder="1">
      <alignment vertical="center"/>
    </xf>
    <xf numFmtId="178" fontId="0" fillId="0" borderId="2" xfId="0" applyNumberFormat="1" applyFont="1" applyFill="1" applyBorder="1">
      <alignment vertical="center"/>
    </xf>
    <xf numFmtId="9" fontId="0" fillId="0" borderId="27" xfId="0" applyNumberFormat="1" applyFont="1" applyFill="1" applyBorder="1">
      <alignment vertical="center"/>
    </xf>
    <xf numFmtId="9" fontId="0" fillId="0" borderId="54" xfId="0" applyNumberFormat="1" applyFont="1" applyFill="1" applyBorder="1">
      <alignment vertical="center"/>
    </xf>
    <xf numFmtId="9" fontId="0" fillId="0" borderId="55" xfId="0" applyNumberFormat="1" applyFont="1" applyFill="1" applyBorder="1">
      <alignment vertical="center"/>
    </xf>
    <xf numFmtId="0" fontId="0" fillId="0" borderId="54" xfId="0" applyFont="1" applyFill="1" applyBorder="1">
      <alignment vertical="center"/>
    </xf>
    <xf numFmtId="0" fontId="0" fillId="0" borderId="55" xfId="0" applyFont="1" applyFill="1" applyBorder="1">
      <alignment vertical="center"/>
    </xf>
    <xf numFmtId="9" fontId="0" fillId="0" borderId="1" xfId="0" applyNumberFormat="1" applyFont="1" applyFill="1" applyBorder="1">
      <alignment vertical="center"/>
    </xf>
    <xf numFmtId="9" fontId="0" fillId="0" borderId="0" xfId="0" applyNumberFormat="1" applyFont="1" applyFill="1" applyBorder="1">
      <alignment vertical="center"/>
    </xf>
    <xf numFmtId="9" fontId="0" fillId="0" borderId="2" xfId="0" applyNumberFormat="1" applyFont="1" applyFill="1" applyBorder="1">
      <alignment vertical="center"/>
    </xf>
    <xf numFmtId="178" fontId="0" fillId="5" borderId="0" xfId="0" applyNumberFormat="1" applyFont="1" applyFill="1" applyBorder="1">
      <alignment vertical="center"/>
    </xf>
    <xf numFmtId="178" fontId="0" fillId="5" borderId="2" xfId="0" applyNumberFormat="1" applyFont="1" applyFill="1" applyBorder="1">
      <alignment vertical="center"/>
    </xf>
    <xf numFmtId="9" fontId="0" fillId="5" borderId="1" xfId="0" applyNumberFormat="1" applyFont="1" applyFill="1" applyBorder="1">
      <alignment vertical="center"/>
    </xf>
    <xf numFmtId="9" fontId="0" fillId="5" borderId="0" xfId="0" applyNumberFormat="1" applyFont="1" applyFill="1" applyBorder="1">
      <alignment vertical="center"/>
    </xf>
    <xf numFmtId="9" fontId="0" fillId="5" borderId="2" xfId="0" applyNumberFormat="1" applyFont="1" applyFill="1" applyBorder="1">
      <alignment vertical="center"/>
    </xf>
    <xf numFmtId="0" fontId="0" fillId="0" borderId="56" xfId="0" applyFont="1" applyFill="1" applyBorder="1">
      <alignment vertical="center"/>
    </xf>
    <xf numFmtId="0" fontId="0" fillId="0" borderId="57" xfId="0" applyFont="1" applyFill="1" applyBorder="1">
      <alignment vertical="center"/>
    </xf>
    <xf numFmtId="178" fontId="0" fillId="0" borderId="58" xfId="0" applyNumberFormat="1" applyFont="1" applyFill="1" applyBorder="1">
      <alignment vertical="center"/>
    </xf>
    <xf numFmtId="178" fontId="0" fillId="0" borderId="57" xfId="0" applyNumberFormat="1" applyFont="1" applyFill="1" applyBorder="1">
      <alignment vertical="center"/>
    </xf>
    <xf numFmtId="9" fontId="0" fillId="0" borderId="56" xfId="0" applyNumberFormat="1" applyFont="1" applyFill="1" applyBorder="1">
      <alignment vertical="center"/>
    </xf>
    <xf numFmtId="9" fontId="0" fillId="0" borderId="58" xfId="0" applyNumberFormat="1" applyFont="1" applyFill="1" applyBorder="1">
      <alignment vertical="center"/>
    </xf>
    <xf numFmtId="9" fontId="0" fillId="0" borderId="57" xfId="0" applyNumberFormat="1" applyFont="1" applyFill="1" applyBorder="1">
      <alignment vertical="center"/>
    </xf>
    <xf numFmtId="0" fontId="0" fillId="0" borderId="58" xfId="0" applyFont="1" applyFill="1" applyBorder="1">
      <alignment vertical="center"/>
    </xf>
    <xf numFmtId="0" fontId="0" fillId="12" borderId="54" xfId="0" applyFont="1" applyFill="1" applyBorder="1">
      <alignment vertical="center"/>
    </xf>
    <xf numFmtId="0" fontId="0" fillId="12" borderId="55" xfId="0" applyFont="1" applyFill="1" applyBorder="1">
      <alignment vertical="center"/>
    </xf>
    <xf numFmtId="0" fontId="0" fillId="12" borderId="2" xfId="0" applyFont="1" applyFill="1" applyBorder="1">
      <alignment vertical="center"/>
    </xf>
    <xf numFmtId="0" fontId="0" fillId="12" borderId="53" xfId="0" applyFill="1" applyBorder="1">
      <alignment vertical="center"/>
    </xf>
    <xf numFmtId="0" fontId="0" fillId="12" borderId="58" xfId="0" applyFont="1" applyFill="1" applyBorder="1">
      <alignment vertical="center"/>
    </xf>
    <xf numFmtId="9" fontId="0" fillId="2" borderId="2" xfId="0" applyNumberFormat="1" applyFont="1" applyFill="1" applyBorder="1">
      <alignment vertical="center"/>
    </xf>
    <xf numFmtId="0" fontId="32" fillId="0" borderId="1" xfId="0" applyFont="1" applyFill="1" applyBorder="1">
      <alignment vertical="center"/>
    </xf>
    <xf numFmtId="0" fontId="32" fillId="0" borderId="2" xfId="0" applyFont="1" applyFill="1" applyBorder="1">
      <alignment vertical="center"/>
    </xf>
    <xf numFmtId="178" fontId="32" fillId="0" borderId="0" xfId="0" applyNumberFormat="1" applyFont="1" applyFill="1" applyBorder="1">
      <alignment vertical="center"/>
    </xf>
    <xf numFmtId="178" fontId="32" fillId="0" borderId="2" xfId="0" applyNumberFormat="1" applyFont="1" applyFill="1" applyBorder="1">
      <alignment vertical="center"/>
    </xf>
    <xf numFmtId="9" fontId="32" fillId="0" borderId="1" xfId="0" applyNumberFormat="1" applyFont="1" applyFill="1" applyBorder="1">
      <alignment vertical="center"/>
    </xf>
    <xf numFmtId="9" fontId="32" fillId="0" borderId="0" xfId="0" applyNumberFormat="1" applyFont="1" applyFill="1" applyBorder="1">
      <alignment vertical="center"/>
    </xf>
    <xf numFmtId="9" fontId="32" fillId="0" borderId="2" xfId="0" applyNumberFormat="1" applyFont="1" applyFill="1" applyBorder="1">
      <alignment vertical="center"/>
    </xf>
    <xf numFmtId="0" fontId="32" fillId="12" borderId="0" xfId="0" applyFont="1" applyFill="1" applyBorder="1">
      <alignment vertical="center"/>
    </xf>
    <xf numFmtId="0" fontId="32" fillId="0" borderId="0" xfId="0" applyFont="1" applyFill="1" applyBorder="1">
      <alignment vertical="center"/>
    </xf>
    <xf numFmtId="0" fontId="32" fillId="0" borderId="56" xfId="0" applyFont="1" applyFill="1" applyBorder="1">
      <alignment vertical="center"/>
    </xf>
    <xf numFmtId="0" fontId="32" fillId="0" borderId="57" xfId="0" applyFont="1" applyFill="1" applyBorder="1">
      <alignment vertical="center"/>
    </xf>
    <xf numFmtId="9" fontId="32" fillId="0" borderId="56" xfId="0" applyNumberFormat="1" applyFont="1" applyFill="1" applyBorder="1">
      <alignment vertical="center"/>
    </xf>
    <xf numFmtId="9" fontId="32" fillId="0" borderId="58" xfId="0" applyNumberFormat="1" applyFont="1" applyFill="1" applyBorder="1">
      <alignment vertical="center"/>
    </xf>
    <xf numFmtId="9" fontId="32" fillId="0" borderId="57" xfId="0" applyNumberFormat="1" applyFont="1" applyFill="1" applyBorder="1">
      <alignment vertical="center"/>
    </xf>
    <xf numFmtId="0" fontId="32" fillId="0" borderId="58" xfId="0" applyFont="1" applyFill="1" applyBorder="1">
      <alignment vertical="center"/>
    </xf>
    <xf numFmtId="9" fontId="0" fillId="2" borderId="1" xfId="0" applyNumberFormat="1" applyFont="1" applyFill="1" applyBorder="1">
      <alignment vertical="center"/>
    </xf>
    <xf numFmtId="9" fontId="0" fillId="2" borderId="0" xfId="0" applyNumberFormat="1" applyFont="1" applyFill="1" applyBorder="1">
      <alignment vertical="center"/>
    </xf>
    <xf numFmtId="0" fontId="33" fillId="0" borderId="1" xfId="0" applyFont="1" applyFill="1" applyBorder="1">
      <alignment vertical="center"/>
    </xf>
    <xf numFmtId="0" fontId="33" fillId="0" borderId="2" xfId="0" applyFont="1" applyFill="1" applyBorder="1">
      <alignment vertical="center"/>
    </xf>
    <xf numFmtId="178" fontId="33" fillId="0" borderId="0" xfId="0" applyNumberFormat="1" applyFont="1" applyFill="1" applyBorder="1">
      <alignment vertical="center"/>
    </xf>
    <xf numFmtId="178" fontId="33" fillId="0" borderId="2" xfId="0" applyNumberFormat="1" applyFont="1" applyFill="1" applyBorder="1">
      <alignment vertical="center"/>
    </xf>
    <xf numFmtId="0" fontId="33" fillId="0" borderId="0" xfId="0" applyFont="1" applyFill="1" applyBorder="1">
      <alignment vertical="center"/>
    </xf>
    <xf numFmtId="0" fontId="33" fillId="0" borderId="56" xfId="0" applyFont="1" applyFill="1" applyBorder="1">
      <alignment vertical="center"/>
    </xf>
    <xf numFmtId="0" fontId="33" fillId="0" borderId="57" xfId="0" applyFont="1" applyFill="1" applyBorder="1">
      <alignment vertical="center"/>
    </xf>
    <xf numFmtId="178" fontId="33" fillId="0" borderId="58" xfId="0" applyNumberFormat="1" applyFont="1" applyFill="1" applyBorder="1">
      <alignment vertical="center"/>
    </xf>
    <xf numFmtId="178" fontId="33" fillId="0" borderId="57" xfId="0" applyNumberFormat="1" applyFont="1" applyFill="1" applyBorder="1">
      <alignment vertical="center"/>
    </xf>
    <xf numFmtId="0" fontId="33" fillId="0" borderId="58" xfId="0" applyFont="1" applyFill="1" applyBorder="1">
      <alignment vertical="center"/>
    </xf>
    <xf numFmtId="0" fontId="33" fillId="12" borderId="0" xfId="0" applyFont="1" applyFill="1" applyBorder="1">
      <alignment vertical="center"/>
    </xf>
    <xf numFmtId="0" fontId="20" fillId="0" borderId="1" xfId="0" applyFont="1" applyFill="1" applyBorder="1">
      <alignment vertical="center"/>
    </xf>
    <xf numFmtId="0" fontId="20" fillId="0" borderId="2" xfId="0" applyFont="1" applyFill="1" applyBorder="1">
      <alignment vertical="center"/>
    </xf>
    <xf numFmtId="178" fontId="20" fillId="0" borderId="0" xfId="0" applyNumberFormat="1" applyFont="1" applyFill="1" applyBorder="1">
      <alignment vertical="center"/>
    </xf>
    <xf numFmtId="178" fontId="20" fillId="0" borderId="2" xfId="0" applyNumberFormat="1" applyFont="1" applyFill="1" applyBorder="1">
      <alignment vertical="center"/>
    </xf>
    <xf numFmtId="9" fontId="20" fillId="2" borderId="1" xfId="0" applyNumberFormat="1" applyFont="1" applyFill="1" applyBorder="1">
      <alignment vertical="center"/>
    </xf>
    <xf numFmtId="9" fontId="20" fillId="2" borderId="0" xfId="0" applyNumberFormat="1" applyFont="1" applyFill="1" applyBorder="1">
      <alignment vertical="center"/>
    </xf>
    <xf numFmtId="9" fontId="20" fillId="2" borderId="2" xfId="0" applyNumberFormat="1" applyFont="1" applyFill="1" applyBorder="1">
      <alignment vertical="center"/>
    </xf>
    <xf numFmtId="0" fontId="20" fillId="12" borderId="0" xfId="0" applyFont="1" applyFill="1" applyBorder="1">
      <alignment vertical="center"/>
    </xf>
    <xf numFmtId="0" fontId="20" fillId="0" borderId="0" xfId="0" applyFont="1" applyFill="1" applyBorder="1">
      <alignment vertical="center"/>
    </xf>
    <xf numFmtId="0" fontId="20" fillId="0" borderId="56" xfId="0" applyFont="1" applyFill="1" applyBorder="1">
      <alignment vertical="center"/>
    </xf>
    <xf numFmtId="0" fontId="20" fillId="0" borderId="57" xfId="0" applyFont="1" applyFill="1" applyBorder="1">
      <alignment vertical="center"/>
    </xf>
    <xf numFmtId="9" fontId="20" fillId="2" borderId="56" xfId="0" applyNumberFormat="1" applyFont="1" applyFill="1" applyBorder="1">
      <alignment vertical="center"/>
    </xf>
    <xf numFmtId="9" fontId="20" fillId="2" borderId="58" xfId="0" applyNumberFormat="1" applyFont="1" applyFill="1" applyBorder="1">
      <alignment vertical="center"/>
    </xf>
    <xf numFmtId="9" fontId="20" fillId="2" borderId="57" xfId="0" applyNumberFormat="1" applyFont="1" applyFill="1" applyBorder="1">
      <alignment vertical="center"/>
    </xf>
    <xf numFmtId="178" fontId="0" fillId="0" borderId="27" xfId="0" applyNumberFormat="1" applyFont="1" applyFill="1" applyBorder="1">
      <alignment vertical="center"/>
    </xf>
    <xf numFmtId="178" fontId="0" fillId="0" borderId="54" xfId="0" applyNumberFormat="1" applyFont="1" applyFill="1" applyBorder="1">
      <alignment vertical="center"/>
    </xf>
    <xf numFmtId="178" fontId="0" fillId="0" borderId="55" xfId="0" applyNumberFormat="1" applyFont="1" applyFill="1" applyBorder="1">
      <alignment vertical="center"/>
    </xf>
    <xf numFmtId="178" fontId="0" fillId="0" borderId="1" xfId="0" applyNumberFormat="1" applyFont="1" applyFill="1" applyBorder="1">
      <alignment vertical="center"/>
    </xf>
    <xf numFmtId="178" fontId="20" fillId="0" borderId="1" xfId="0" applyNumberFormat="1" applyFont="1" applyFill="1" applyBorder="1">
      <alignment vertical="center"/>
    </xf>
    <xf numFmtId="9" fontId="20" fillId="0" borderId="1" xfId="0" applyNumberFormat="1" applyFont="1" applyFill="1" applyBorder="1">
      <alignment vertical="center"/>
    </xf>
    <xf numFmtId="9" fontId="20" fillId="0" borderId="0" xfId="0" applyNumberFormat="1" applyFont="1" applyFill="1" applyBorder="1">
      <alignment vertical="center"/>
    </xf>
    <xf numFmtId="9" fontId="20" fillId="0" borderId="2" xfId="0" applyNumberFormat="1" applyFont="1" applyFill="1" applyBorder="1">
      <alignment vertical="center"/>
    </xf>
    <xf numFmtId="178" fontId="20" fillId="0" borderId="56" xfId="0" applyNumberFormat="1" applyFont="1" applyFill="1" applyBorder="1">
      <alignment vertical="center"/>
    </xf>
    <xf numFmtId="178" fontId="20" fillId="0" borderId="58" xfId="0" applyNumberFormat="1" applyFont="1" applyFill="1" applyBorder="1">
      <alignment vertical="center"/>
    </xf>
    <xf numFmtId="178" fontId="20" fillId="0" borderId="57" xfId="0" applyNumberFormat="1" applyFont="1" applyFill="1" applyBorder="1">
      <alignment vertical="center"/>
    </xf>
    <xf numFmtId="9" fontId="20" fillId="0" borderId="56" xfId="0" applyNumberFormat="1" applyFont="1" applyFill="1" applyBorder="1">
      <alignment vertical="center"/>
    </xf>
    <xf numFmtId="9" fontId="20" fillId="0" borderId="58" xfId="0" applyNumberFormat="1" applyFont="1" applyFill="1" applyBorder="1">
      <alignment vertical="center"/>
    </xf>
    <xf numFmtId="9" fontId="20" fillId="0" borderId="57" xfId="0" applyNumberFormat="1" applyFont="1" applyFill="1" applyBorder="1">
      <alignment vertical="center"/>
    </xf>
    <xf numFmtId="0" fontId="20" fillId="0" borderId="58" xfId="0" applyFont="1" applyFill="1" applyBorder="1">
      <alignment vertical="center"/>
    </xf>
    <xf numFmtId="0" fontId="28" fillId="0" borderId="0" xfId="8" applyFont="1">
      <alignment vertical="center"/>
    </xf>
    <xf numFmtId="0" fontId="28" fillId="0" borderId="0" xfId="8" applyFont="1" applyAlignment="1">
      <alignment horizontal="center" vertical="center"/>
    </xf>
    <xf numFmtId="0" fontId="30" fillId="0" borderId="0" xfId="8" applyFont="1">
      <alignment vertical="center"/>
    </xf>
    <xf numFmtId="0" fontId="28" fillId="11" borderId="7" xfId="8" applyFont="1" applyFill="1" applyBorder="1">
      <alignment vertical="center"/>
    </xf>
    <xf numFmtId="0" fontId="28" fillId="11" borderId="27" xfId="8" applyFont="1" applyFill="1" applyBorder="1" applyAlignment="1">
      <alignment vertical="center"/>
    </xf>
    <xf numFmtId="0" fontId="28" fillId="11" borderId="54" xfId="8" applyFont="1" applyFill="1" applyBorder="1" applyAlignment="1">
      <alignment vertical="center"/>
    </xf>
    <xf numFmtId="0" fontId="28" fillId="11" borderId="55" xfId="8" applyFont="1" applyFill="1" applyBorder="1" applyAlignment="1">
      <alignment vertical="center"/>
    </xf>
    <xf numFmtId="0" fontId="28" fillId="11" borderId="4" xfId="8" applyFont="1" applyFill="1" applyBorder="1" applyAlignment="1">
      <alignment vertical="center"/>
    </xf>
    <xf numFmtId="0" fontId="28" fillId="11" borderId="3" xfId="8" applyFont="1" applyFill="1" applyBorder="1" applyAlignment="1">
      <alignment vertical="center"/>
    </xf>
    <xf numFmtId="0" fontId="28" fillId="11" borderId="53" xfId="8" applyFont="1" applyFill="1" applyBorder="1" applyAlignment="1">
      <alignment vertical="center"/>
    </xf>
    <xf numFmtId="0" fontId="28" fillId="10" borderId="4" xfId="8" applyFont="1" applyFill="1" applyBorder="1" applyAlignment="1">
      <alignment horizontal="center" vertical="center"/>
    </xf>
    <xf numFmtId="0" fontId="28" fillId="10" borderId="7" xfId="8" applyFont="1" applyFill="1" applyBorder="1" applyAlignment="1">
      <alignment horizontal="center" vertical="center"/>
    </xf>
    <xf numFmtId="0" fontId="28" fillId="10" borderId="6" xfId="8" applyFont="1" applyFill="1" applyBorder="1" applyAlignment="1">
      <alignment horizontal="center" vertical="center"/>
    </xf>
    <xf numFmtId="177" fontId="28" fillId="0" borderId="7" xfId="8" applyNumberFormat="1" applyFont="1" applyBorder="1" applyAlignment="1">
      <alignment horizontal="center" vertical="center"/>
    </xf>
    <xf numFmtId="0" fontId="28" fillId="11" borderId="7" xfId="8" applyFont="1" applyFill="1" applyBorder="1" applyAlignment="1">
      <alignment horizontal="center" vertical="center"/>
    </xf>
    <xf numFmtId="0" fontId="28" fillId="11" borderId="7" xfId="8" applyFont="1" applyFill="1" applyBorder="1" applyAlignment="1">
      <alignment vertical="center"/>
    </xf>
    <xf numFmtId="177" fontId="28" fillId="0" borderId="7" xfId="8" applyNumberFormat="1" applyFont="1" applyBorder="1" applyAlignment="1">
      <alignment vertical="center"/>
    </xf>
    <xf numFmtId="177" fontId="28" fillId="6" borderId="7" xfId="8" applyNumberFormat="1" applyFont="1" applyFill="1" applyBorder="1" applyAlignment="1">
      <alignment horizontal="center" vertical="center"/>
    </xf>
    <xf numFmtId="177" fontId="28" fillId="0" borderId="0" xfId="8" applyNumberFormat="1" applyFont="1" applyBorder="1" applyAlignment="1">
      <alignment vertical="center"/>
    </xf>
    <xf numFmtId="0" fontId="28" fillId="0" borderId="53" xfId="0" applyFont="1" applyBorder="1">
      <alignment vertical="center"/>
    </xf>
    <xf numFmtId="0" fontId="28" fillId="0" borderId="0" xfId="0" applyFont="1">
      <alignment vertical="center"/>
    </xf>
    <xf numFmtId="0" fontId="28" fillId="10" borderId="7" xfId="0" applyFont="1" applyFill="1" applyBorder="1">
      <alignment vertical="center"/>
    </xf>
    <xf numFmtId="0" fontId="28" fillId="10" borderId="4" xfId="0" applyFont="1" applyFill="1" applyBorder="1" applyAlignment="1">
      <alignment horizontal="center" vertical="center"/>
    </xf>
    <xf numFmtId="0" fontId="28" fillId="10" borderId="7" xfId="0" applyFont="1" applyFill="1" applyBorder="1" applyAlignment="1">
      <alignment horizontal="center" vertical="center"/>
    </xf>
    <xf numFmtId="177" fontId="28" fillId="0" borderId="7" xfId="0" applyNumberFormat="1" applyFont="1" applyBorder="1" applyAlignment="1">
      <alignment horizontal="center" vertical="center"/>
    </xf>
    <xf numFmtId="0" fontId="28" fillId="10" borderId="26" xfId="0" applyFont="1" applyFill="1" applyBorder="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177" fontId="34" fillId="0" borderId="7" xfId="0" applyNumberFormat="1" applyFont="1" applyFill="1" applyBorder="1" applyAlignment="1">
      <alignment horizontal="center" vertical="center"/>
    </xf>
    <xf numFmtId="177" fontId="34" fillId="0" borderId="7" xfId="0" applyNumberFormat="1" applyFont="1" applyBorder="1" applyAlignment="1">
      <alignment horizontal="center" vertical="center"/>
    </xf>
    <xf numFmtId="177" fontId="35" fillId="0" borderId="7" xfId="0" applyNumberFormat="1" applyFont="1" applyFill="1" applyBorder="1" applyAlignment="1">
      <alignment horizontal="center" vertical="center"/>
    </xf>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2" borderId="2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4" borderId="4"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6" fillId="0" borderId="39" xfId="0" applyFont="1" applyBorder="1" applyAlignment="1">
      <alignment vertical="center" wrapText="1"/>
    </xf>
    <xf numFmtId="0" fontId="6" fillId="0" borderId="10" xfId="0" applyFont="1" applyBorder="1" applyAlignment="1">
      <alignment vertical="center" wrapText="1"/>
    </xf>
    <xf numFmtId="0" fontId="0" fillId="0" borderId="10" xfId="0" applyBorder="1" applyAlignment="1">
      <alignment vertical="center" wrapText="1"/>
    </xf>
    <xf numFmtId="0" fontId="0" fillId="0" borderId="33" xfId="0" applyBorder="1" applyAlignment="1">
      <alignment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7" xfId="0" applyFont="1"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6" fillId="0" borderId="37" xfId="0" applyFont="1" applyBorder="1" applyAlignment="1">
      <alignment vertical="center" wrapText="1"/>
    </xf>
    <xf numFmtId="0" fontId="0" fillId="0" borderId="38" xfId="0" applyBorder="1" applyAlignment="1">
      <alignment vertical="center" wrapText="1"/>
    </xf>
    <xf numFmtId="0" fontId="0" fillId="0" borderId="36" xfId="0" applyBorder="1" applyAlignment="1">
      <alignment vertical="center" wrapText="1"/>
    </xf>
    <xf numFmtId="0" fontId="6" fillId="0" borderId="22" xfId="0" applyFont="1" applyBorder="1" applyAlignment="1">
      <alignment horizontal="center" vertical="center" wrapText="1"/>
    </xf>
    <xf numFmtId="0" fontId="17" fillId="9" borderId="4" xfId="3" applyFont="1" applyFill="1" applyBorder="1" applyAlignment="1">
      <alignment horizontal="center"/>
    </xf>
    <xf numFmtId="0" fontId="17" fillId="9" borderId="53" xfId="3" applyFont="1" applyFill="1" applyBorder="1" applyAlignment="1">
      <alignment horizontal="center"/>
    </xf>
    <xf numFmtId="0" fontId="17" fillId="9" borderId="3" xfId="3" applyFont="1" applyFill="1" applyBorder="1" applyAlignment="1">
      <alignment horizontal="center"/>
    </xf>
    <xf numFmtId="0" fontId="30" fillId="11" borderId="4" xfId="6" applyFont="1" applyFill="1" applyBorder="1" applyAlignment="1">
      <alignment horizontal="center" vertical="center"/>
    </xf>
    <xf numFmtId="0" fontId="30" fillId="11" borderId="53" xfId="6" applyFont="1" applyFill="1" applyBorder="1" applyAlignment="1">
      <alignment horizontal="center" vertical="center"/>
    </xf>
    <xf numFmtId="0" fontId="30" fillId="11" borderId="3" xfId="6" applyFont="1" applyFill="1" applyBorder="1" applyAlignment="1">
      <alignment horizontal="center" vertical="center"/>
    </xf>
    <xf numFmtId="0" fontId="28" fillId="11" borderId="4" xfId="6" applyFont="1" applyFill="1" applyBorder="1" applyAlignment="1">
      <alignment horizontal="center" vertical="center"/>
    </xf>
    <xf numFmtId="0" fontId="28" fillId="11" borderId="53" xfId="6" applyFont="1" applyFill="1" applyBorder="1" applyAlignment="1">
      <alignment horizontal="center" vertical="center"/>
    </xf>
    <xf numFmtId="0" fontId="28" fillId="11" borderId="3" xfId="6" applyFont="1" applyFill="1" applyBorder="1" applyAlignment="1">
      <alignment horizontal="center" vertical="center"/>
    </xf>
    <xf numFmtId="0" fontId="28" fillId="11" borderId="7" xfId="6" applyFont="1" applyFill="1" applyBorder="1" applyAlignment="1">
      <alignment horizontal="center" vertical="center"/>
    </xf>
    <xf numFmtId="0" fontId="28" fillId="10" borderId="4" xfId="6" applyFont="1" applyFill="1" applyBorder="1" applyAlignment="1">
      <alignment horizontal="center" vertical="center"/>
    </xf>
    <xf numFmtId="0" fontId="28" fillId="10" borderId="53" xfId="6" applyFont="1" applyFill="1" applyBorder="1" applyAlignment="1">
      <alignment horizontal="center" vertical="center"/>
    </xf>
    <xf numFmtId="0" fontId="28" fillId="10" borderId="3" xfId="6" applyFont="1" applyFill="1" applyBorder="1" applyAlignment="1">
      <alignment horizontal="center" vertical="center"/>
    </xf>
    <xf numFmtId="0" fontId="31" fillId="11" borderId="4" xfId="6" applyFont="1" applyFill="1" applyBorder="1" applyAlignment="1">
      <alignment horizontal="center" vertical="center"/>
    </xf>
    <xf numFmtId="0" fontId="31" fillId="11" borderId="53" xfId="6" applyFont="1" applyFill="1" applyBorder="1" applyAlignment="1">
      <alignment horizontal="center" vertical="center"/>
    </xf>
    <xf numFmtId="0" fontId="31" fillId="11" borderId="3" xfId="6" applyFont="1" applyFill="1" applyBorder="1" applyAlignment="1">
      <alignment horizontal="center" vertical="center"/>
    </xf>
    <xf numFmtId="0" fontId="28" fillId="10" borderId="27" xfId="6" applyFont="1" applyFill="1" applyBorder="1" applyAlignment="1">
      <alignment horizontal="left" vertical="center"/>
    </xf>
    <xf numFmtId="0" fontId="28" fillId="10" borderId="54" xfId="6" applyFont="1" applyFill="1" applyBorder="1" applyAlignment="1">
      <alignment horizontal="left" vertical="center"/>
    </xf>
    <xf numFmtId="0" fontId="28" fillId="10" borderId="55" xfId="6" applyFont="1" applyFill="1" applyBorder="1" applyAlignment="1">
      <alignment horizontal="left" vertical="center"/>
    </xf>
    <xf numFmtId="0" fontId="28" fillId="10" borderId="4" xfId="6" applyFont="1" applyFill="1" applyBorder="1" applyAlignment="1">
      <alignment horizontal="left" vertical="center"/>
    </xf>
    <xf numFmtId="0" fontId="28" fillId="10" borderId="3" xfId="6" applyFont="1" applyFill="1" applyBorder="1" applyAlignment="1">
      <alignment horizontal="left" vertical="center"/>
    </xf>
    <xf numFmtId="0" fontId="30" fillId="11" borderId="4" xfId="6" applyFont="1" applyFill="1" applyBorder="1" applyAlignment="1">
      <alignment horizontal="left" vertical="center"/>
    </xf>
    <xf numFmtId="0" fontId="30" fillId="11" borderId="53" xfId="6" applyFont="1" applyFill="1" applyBorder="1" applyAlignment="1">
      <alignment horizontal="left" vertical="center"/>
    </xf>
    <xf numFmtId="0" fontId="30" fillId="11" borderId="3" xfId="6" applyFont="1" applyFill="1" applyBorder="1" applyAlignment="1">
      <alignment horizontal="left" vertical="center"/>
    </xf>
    <xf numFmtId="0" fontId="28" fillId="11" borderId="4" xfId="6" applyFont="1" applyFill="1" applyBorder="1" applyAlignment="1">
      <alignment horizontal="left" vertical="center"/>
    </xf>
    <xf numFmtId="0" fontId="28" fillId="11" borderId="53" xfId="6" applyFont="1" applyFill="1" applyBorder="1" applyAlignment="1">
      <alignment horizontal="left" vertical="center"/>
    </xf>
    <xf numFmtId="0" fontId="28" fillId="11" borderId="3" xfId="6" applyFont="1" applyFill="1" applyBorder="1" applyAlignment="1">
      <alignment horizontal="left" vertical="center"/>
    </xf>
    <xf numFmtId="0" fontId="0" fillId="0" borderId="26" xfId="0"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26" xfId="0" applyFont="1" applyFill="1" applyBorder="1" applyAlignment="1">
      <alignment vertical="center"/>
    </xf>
    <xf numFmtId="0" fontId="28" fillId="10" borderId="4" xfId="0" applyFont="1" applyFill="1" applyBorder="1" applyAlignment="1">
      <alignment horizontal="center" vertical="center"/>
    </xf>
    <xf numFmtId="0" fontId="28" fillId="10" borderId="53" xfId="0" applyFont="1" applyFill="1" applyBorder="1" applyAlignment="1">
      <alignment horizontal="center" vertical="center"/>
    </xf>
    <xf numFmtId="0" fontId="28" fillId="10" borderId="3" xfId="0" applyFont="1" applyFill="1" applyBorder="1" applyAlignment="1">
      <alignment horizontal="center" vertical="center"/>
    </xf>
    <xf numFmtId="0" fontId="28" fillId="0" borderId="58" xfId="8" applyFont="1" applyBorder="1" applyAlignment="1">
      <alignment horizontal="center" vertical="center"/>
    </xf>
    <xf numFmtId="0" fontId="28" fillId="11" borderId="4" xfId="0" applyFont="1" applyFill="1" applyBorder="1" applyAlignment="1">
      <alignment horizontal="center" vertical="center"/>
    </xf>
    <xf numFmtId="0" fontId="28" fillId="11" borderId="53" xfId="0" applyFont="1" applyFill="1" applyBorder="1" applyAlignment="1">
      <alignment horizontal="center" vertical="center"/>
    </xf>
    <xf numFmtId="0" fontId="28" fillId="11" borderId="3" xfId="0" applyFont="1" applyFill="1" applyBorder="1" applyAlignment="1">
      <alignment horizontal="center" vertical="center"/>
    </xf>
    <xf numFmtId="0" fontId="28" fillId="13" borderId="4" xfId="0" applyFont="1" applyFill="1" applyBorder="1" applyAlignment="1">
      <alignment horizontal="center" vertical="center"/>
    </xf>
    <xf numFmtId="0" fontId="28" fillId="13" borderId="53" xfId="0" applyFont="1" applyFill="1" applyBorder="1" applyAlignment="1">
      <alignment horizontal="center" vertical="center"/>
    </xf>
    <xf numFmtId="0" fontId="28" fillId="13" borderId="3" xfId="0" applyFont="1" applyFill="1" applyBorder="1" applyAlignment="1">
      <alignment horizontal="center" vertical="center"/>
    </xf>
    <xf numFmtId="0" fontId="19" fillId="0" borderId="5" xfId="0" applyFont="1" applyBorder="1">
      <alignment vertical="center"/>
    </xf>
  </cellXfs>
  <cellStyles count="9">
    <cellStyle name="一般" xfId="0" builtinId="0"/>
    <cellStyle name="一般 2" xfId="2"/>
    <cellStyle name="一般 2 2" xfId="7"/>
    <cellStyle name="一般 3" xfId="3"/>
    <cellStyle name="一般 3 2" xfId="5"/>
    <cellStyle name="一般 4" xfId="6"/>
    <cellStyle name="一般 5" xfId="8"/>
    <cellStyle name="千分位 2" xfId="4"/>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0"/>
  <sheetViews>
    <sheetView tabSelected="1" zoomScale="70" zoomScaleNormal="70" workbookViewId="0">
      <pane xSplit="4" ySplit="4" topLeftCell="E5" activePane="bottomRight" state="frozen"/>
      <selection pane="topRight" activeCell="E1" sqref="E1"/>
      <selection pane="bottomLeft" activeCell="A5" sqref="A5"/>
      <selection pane="bottomRight" activeCell="D20" sqref="D20:E20"/>
    </sheetView>
  </sheetViews>
  <sheetFormatPr defaultRowHeight="15.75"/>
  <cols>
    <col min="3" max="3" width="14.85546875" customWidth="1"/>
    <col min="4" max="4" width="35" customWidth="1"/>
    <col min="5" max="5" width="15.28515625" customWidth="1"/>
    <col min="6" max="11" width="9.140625" customWidth="1"/>
  </cols>
  <sheetData>
    <row r="1" spans="1:24">
      <c r="E1" s="41"/>
    </row>
    <row r="2" spans="1:24" ht="16.5" thickBot="1"/>
    <row r="3" spans="1:24" ht="36" customHeight="1" thickBot="1">
      <c r="B3" s="345" t="s">
        <v>23</v>
      </c>
      <c r="C3" s="346"/>
      <c r="D3" s="346"/>
      <c r="E3" s="346"/>
      <c r="F3" s="347"/>
      <c r="G3" s="342" t="s">
        <v>63</v>
      </c>
      <c r="H3" s="343"/>
      <c r="I3" s="344"/>
      <c r="J3" s="344" t="s">
        <v>17</v>
      </c>
      <c r="K3" s="344"/>
      <c r="L3" s="342" t="s">
        <v>161</v>
      </c>
      <c r="M3" s="343"/>
      <c r="N3" s="343"/>
      <c r="O3" s="343"/>
      <c r="P3" s="343"/>
      <c r="Q3" s="344"/>
      <c r="R3" s="342" t="s">
        <v>94</v>
      </c>
      <c r="S3" s="343"/>
      <c r="T3" s="343"/>
      <c r="U3" s="343"/>
      <c r="V3" s="343"/>
      <c r="W3" s="343"/>
      <c r="X3" s="344"/>
    </row>
    <row r="4" spans="1:24" ht="31.5">
      <c r="B4" s="37" t="s">
        <v>24</v>
      </c>
      <c r="C4" s="35" t="s">
        <v>20</v>
      </c>
      <c r="D4" s="32" t="s">
        <v>0</v>
      </c>
      <c r="E4" s="32" t="s">
        <v>1</v>
      </c>
      <c r="F4" s="33" t="s">
        <v>2</v>
      </c>
      <c r="G4" s="34" t="s">
        <v>90</v>
      </c>
      <c r="H4" s="6" t="s">
        <v>101</v>
      </c>
      <c r="I4" s="16"/>
      <c r="J4" s="28" t="s">
        <v>3</v>
      </c>
      <c r="K4" s="36" t="s">
        <v>22</v>
      </c>
      <c r="L4" s="327" t="s">
        <v>18</v>
      </c>
      <c r="M4" s="328"/>
      <c r="N4" s="329"/>
      <c r="O4" s="330" t="s">
        <v>19</v>
      </c>
      <c r="P4" s="328"/>
      <c r="Q4" s="331"/>
      <c r="R4" s="327" t="s">
        <v>18</v>
      </c>
      <c r="S4" s="328"/>
      <c r="T4" s="328"/>
      <c r="U4" s="329"/>
      <c r="V4" s="330" t="s">
        <v>19</v>
      </c>
      <c r="W4" s="328"/>
      <c r="X4" s="331"/>
    </row>
    <row r="5" spans="1:24">
      <c r="B5" s="15"/>
      <c r="C5" s="3"/>
      <c r="D5" s="4"/>
      <c r="E5" s="3"/>
      <c r="F5" s="1"/>
      <c r="G5" s="17"/>
      <c r="H5" s="3"/>
      <c r="I5" s="20"/>
      <c r="J5" s="3"/>
      <c r="K5" s="20"/>
      <c r="L5" s="332" t="s">
        <v>98</v>
      </c>
      <c r="M5" s="333"/>
      <c r="N5" s="112" t="s">
        <v>95</v>
      </c>
      <c r="O5" s="334" t="s">
        <v>98</v>
      </c>
      <c r="P5" s="335"/>
      <c r="Q5" s="113" t="s">
        <v>95</v>
      </c>
      <c r="R5" s="332" t="s">
        <v>98</v>
      </c>
      <c r="S5" s="333"/>
      <c r="T5" s="336" t="s">
        <v>95</v>
      </c>
      <c r="U5" s="337"/>
      <c r="V5" s="334" t="s">
        <v>98</v>
      </c>
      <c r="W5" s="335"/>
      <c r="X5" s="113" t="s">
        <v>95</v>
      </c>
    </row>
    <row r="6" spans="1:24" ht="32.25" thickBot="1">
      <c r="B6" s="30"/>
      <c r="C6" s="3"/>
      <c r="D6" s="4"/>
      <c r="E6" s="3"/>
      <c r="F6" s="1"/>
      <c r="G6" s="17"/>
      <c r="H6" s="3"/>
      <c r="I6" s="20"/>
      <c r="J6" s="3"/>
      <c r="K6" s="20"/>
      <c r="L6" s="103" t="s">
        <v>4</v>
      </c>
      <c r="M6" s="104" t="s">
        <v>21</v>
      </c>
      <c r="N6" s="105" t="s">
        <v>4</v>
      </c>
      <c r="O6" s="106" t="s">
        <v>4</v>
      </c>
      <c r="P6" s="104" t="s">
        <v>15</v>
      </c>
      <c r="Q6" s="107" t="s">
        <v>4</v>
      </c>
      <c r="R6" s="108" t="s">
        <v>96</v>
      </c>
      <c r="S6" s="104" t="s">
        <v>97</v>
      </c>
      <c r="T6" s="146" t="s">
        <v>16</v>
      </c>
      <c r="U6" s="147" t="s">
        <v>7</v>
      </c>
      <c r="V6" s="148" t="s">
        <v>163</v>
      </c>
      <c r="W6" s="147" t="s">
        <v>7</v>
      </c>
      <c r="X6" s="149" t="s">
        <v>5</v>
      </c>
    </row>
    <row r="7" spans="1:24">
      <c r="B7" s="338" t="s">
        <v>8</v>
      </c>
      <c r="C7" s="14"/>
      <c r="D7" s="14"/>
      <c r="E7" s="27"/>
      <c r="F7" s="26"/>
      <c r="G7" s="39"/>
      <c r="H7" s="40"/>
      <c r="I7" s="40"/>
      <c r="J7" s="78"/>
      <c r="K7" s="79"/>
      <c r="L7" s="78"/>
      <c r="M7" s="80"/>
      <c r="N7" s="80"/>
      <c r="O7" s="80"/>
      <c r="P7" s="80"/>
      <c r="Q7" s="79"/>
      <c r="R7" s="78"/>
      <c r="S7" s="80"/>
      <c r="T7" s="80"/>
      <c r="U7" s="81"/>
      <c r="V7" s="80"/>
      <c r="W7" s="80"/>
      <c r="X7" s="79"/>
    </row>
    <row r="8" spans="1:24">
      <c r="B8" s="339"/>
      <c r="C8" s="5" t="s">
        <v>316</v>
      </c>
      <c r="D8" s="5" t="s">
        <v>103</v>
      </c>
      <c r="E8" s="9"/>
      <c r="F8" s="8"/>
      <c r="G8" s="23"/>
      <c r="H8" s="21"/>
      <c r="I8" s="21"/>
      <c r="J8" s="82"/>
      <c r="K8" s="83"/>
      <c r="L8" s="82"/>
      <c r="M8" s="84"/>
      <c r="N8" s="84"/>
      <c r="O8" s="84" t="s">
        <v>86</v>
      </c>
      <c r="P8" s="84"/>
      <c r="Q8" s="83" t="s">
        <v>84</v>
      </c>
      <c r="R8" s="114"/>
      <c r="T8" s="84"/>
      <c r="U8" s="85"/>
      <c r="V8" s="84"/>
      <c r="W8" s="84"/>
      <c r="X8" s="83"/>
    </row>
    <row r="9" spans="1:24" ht="31.5">
      <c r="B9" s="339"/>
      <c r="C9" s="5" t="s">
        <v>316</v>
      </c>
      <c r="D9" s="5" t="s">
        <v>160</v>
      </c>
      <c r="E9" s="4"/>
      <c r="F9" s="3"/>
      <c r="G9" s="22"/>
      <c r="H9" s="2"/>
      <c r="I9" s="2"/>
      <c r="J9" s="82"/>
      <c r="K9" s="101"/>
      <c r="L9" s="82" t="s">
        <v>84</v>
      </c>
      <c r="M9" s="86"/>
      <c r="N9" s="84"/>
      <c r="O9" s="84" t="s">
        <v>84</v>
      </c>
      <c r="P9" s="84"/>
      <c r="Q9" s="83"/>
      <c r="R9" s="82"/>
      <c r="S9" s="86" t="s">
        <v>99</v>
      </c>
      <c r="T9" s="84"/>
      <c r="U9" s="85"/>
      <c r="V9" s="84"/>
      <c r="W9" s="84"/>
      <c r="X9" s="83"/>
    </row>
    <row r="10" spans="1:24">
      <c r="B10" s="339"/>
      <c r="C10" s="5" t="s">
        <v>316</v>
      </c>
      <c r="D10" s="116" t="s">
        <v>104</v>
      </c>
      <c r="E10" s="4"/>
      <c r="F10" s="3"/>
      <c r="G10" s="22"/>
      <c r="H10" s="2"/>
      <c r="I10" s="2"/>
      <c r="J10" s="82"/>
      <c r="K10" s="83"/>
      <c r="L10" s="82"/>
      <c r="M10" s="84"/>
      <c r="N10" s="84"/>
      <c r="O10" s="84" t="s">
        <v>105</v>
      </c>
      <c r="P10" s="84"/>
      <c r="Q10" s="115" t="s">
        <v>106</v>
      </c>
      <c r="R10" s="84" t="s">
        <v>84</v>
      </c>
      <c r="S10" s="84"/>
      <c r="T10" s="84"/>
      <c r="U10" s="85"/>
      <c r="V10" s="84"/>
      <c r="W10" s="84"/>
      <c r="X10" s="83"/>
    </row>
    <row r="11" spans="1:24">
      <c r="B11" s="339"/>
      <c r="C11" s="5" t="s">
        <v>436</v>
      </c>
      <c r="D11" s="5" t="s">
        <v>103</v>
      </c>
      <c r="E11" s="4"/>
      <c r="F11" s="3"/>
      <c r="G11" s="22"/>
      <c r="H11" s="2"/>
      <c r="I11" s="2"/>
      <c r="J11" s="82"/>
      <c r="K11" s="83"/>
      <c r="L11" s="82"/>
      <c r="M11" s="84"/>
      <c r="N11" s="84" t="s">
        <v>84</v>
      </c>
      <c r="O11" s="84" t="s">
        <v>85</v>
      </c>
      <c r="P11" s="84"/>
      <c r="Q11" s="83"/>
      <c r="R11" s="82"/>
      <c r="S11" s="84"/>
      <c r="T11" s="84"/>
      <c r="U11" s="85"/>
      <c r="V11" s="84"/>
      <c r="W11" s="84"/>
      <c r="X11" s="83"/>
    </row>
    <row r="12" spans="1:24">
      <c r="B12" s="339"/>
      <c r="C12" s="5" t="s">
        <v>437</v>
      </c>
      <c r="D12" s="5" t="s">
        <v>159</v>
      </c>
      <c r="E12" s="4"/>
      <c r="F12" s="3"/>
      <c r="G12" s="22"/>
      <c r="H12" s="2"/>
      <c r="I12" s="2"/>
      <c r="J12" s="82"/>
      <c r="K12" s="83"/>
      <c r="L12" s="82" t="s">
        <v>84</v>
      </c>
      <c r="M12" s="84"/>
      <c r="N12" s="84"/>
      <c r="O12" s="84" t="s">
        <v>84</v>
      </c>
      <c r="P12" s="84"/>
      <c r="Q12" s="83"/>
      <c r="R12" s="82"/>
      <c r="S12" s="84"/>
      <c r="T12" s="84"/>
      <c r="U12" s="85"/>
      <c r="V12" s="84"/>
      <c r="W12" s="84"/>
      <c r="X12" s="83"/>
    </row>
    <row r="13" spans="1:24" ht="16.5" thickBot="1">
      <c r="B13" s="339"/>
      <c r="C13" s="5"/>
      <c r="D13" s="5"/>
      <c r="E13" s="4"/>
      <c r="F13" s="8"/>
      <c r="G13" s="22"/>
      <c r="H13" s="2"/>
      <c r="I13" s="77"/>
      <c r="J13" s="87"/>
      <c r="K13" s="88"/>
      <c r="L13" s="87"/>
      <c r="M13" s="89"/>
      <c r="N13" s="89"/>
      <c r="O13" s="89"/>
      <c r="P13" s="89"/>
      <c r="Q13" s="88"/>
      <c r="R13" s="87"/>
      <c r="S13" s="89"/>
      <c r="T13" s="89"/>
      <c r="U13" s="90"/>
      <c r="V13" s="89"/>
      <c r="W13" s="89"/>
      <c r="X13" s="88"/>
    </row>
    <row r="14" spans="1:24" s="102" customFormat="1" ht="33.75" customHeight="1" thickBot="1">
      <c r="B14" s="348" t="s">
        <v>23</v>
      </c>
      <c r="C14" s="349"/>
      <c r="D14" s="349"/>
      <c r="E14" s="349"/>
      <c r="F14" s="350"/>
      <c r="G14" s="342" t="s">
        <v>63</v>
      </c>
      <c r="H14" s="343"/>
      <c r="I14" s="344"/>
      <c r="J14" s="351" t="s">
        <v>17</v>
      </c>
      <c r="K14" s="351"/>
      <c r="L14" s="342" t="s">
        <v>102</v>
      </c>
      <c r="M14" s="343"/>
      <c r="N14" s="343"/>
      <c r="O14" s="343"/>
      <c r="P14" s="343"/>
      <c r="Q14" s="344"/>
      <c r="R14" s="342" t="s">
        <v>94</v>
      </c>
      <c r="S14" s="343"/>
      <c r="T14" s="343"/>
      <c r="U14" s="343"/>
      <c r="V14" s="343"/>
      <c r="W14" s="343"/>
      <c r="X14" s="344"/>
    </row>
    <row r="15" spans="1:24" ht="31.5">
      <c r="B15" s="38"/>
      <c r="C15" s="35" t="s">
        <v>20</v>
      </c>
      <c r="D15" s="32" t="s">
        <v>0</v>
      </c>
      <c r="E15" s="32" t="s">
        <v>1</v>
      </c>
      <c r="F15" s="33" t="s">
        <v>2</v>
      </c>
      <c r="G15" s="34" t="s">
        <v>90</v>
      </c>
      <c r="H15" s="6" t="s">
        <v>101</v>
      </c>
      <c r="I15" s="16"/>
      <c r="J15" s="28" t="s">
        <v>3</v>
      </c>
      <c r="K15" s="36" t="s">
        <v>22</v>
      </c>
      <c r="L15" s="327" t="s">
        <v>18</v>
      </c>
      <c r="M15" s="328"/>
      <c r="N15" s="329"/>
      <c r="O15" s="330" t="s">
        <v>19</v>
      </c>
      <c r="P15" s="328"/>
      <c r="Q15" s="331"/>
      <c r="R15" s="327" t="s">
        <v>18</v>
      </c>
      <c r="S15" s="328"/>
      <c r="T15" s="328"/>
      <c r="U15" s="329"/>
      <c r="V15" s="330" t="s">
        <v>19</v>
      </c>
      <c r="W15" s="328"/>
      <c r="X15" s="331"/>
    </row>
    <row r="16" spans="1:24">
      <c r="B16" s="15"/>
      <c r="C16" s="3"/>
      <c r="D16" s="121"/>
      <c r="E16" s="3"/>
      <c r="F16" s="1"/>
      <c r="G16" s="17"/>
      <c r="H16" s="3"/>
      <c r="I16" s="20"/>
      <c r="J16" s="3"/>
      <c r="K16" s="20"/>
      <c r="L16" s="332" t="s">
        <v>95</v>
      </c>
      <c r="M16" s="333"/>
      <c r="N16" s="112" t="s">
        <v>98</v>
      </c>
      <c r="O16" s="334" t="s">
        <v>95</v>
      </c>
      <c r="P16" s="335"/>
      <c r="Q16" s="113" t="s">
        <v>98</v>
      </c>
      <c r="R16" s="332" t="s">
        <v>95</v>
      </c>
      <c r="S16" s="333"/>
      <c r="T16" s="336" t="s">
        <v>98</v>
      </c>
      <c r="U16" s="337"/>
      <c r="V16" s="334" t="s">
        <v>95</v>
      </c>
      <c r="W16" s="335"/>
      <c r="X16" s="113" t="s">
        <v>98</v>
      </c>
    </row>
    <row r="17" spans="2:24" ht="32.25" thickBot="1">
      <c r="B17" s="31"/>
      <c r="C17" s="3"/>
      <c r="D17" s="5"/>
      <c r="E17" s="5"/>
      <c r="F17" s="3"/>
      <c r="G17" s="17"/>
      <c r="H17" s="3"/>
      <c r="I17" s="20"/>
      <c r="J17" s="1"/>
      <c r="K17" s="20"/>
      <c r="L17" s="103" t="s">
        <v>4</v>
      </c>
      <c r="M17" s="104" t="s">
        <v>21</v>
      </c>
      <c r="N17" s="105" t="s">
        <v>4</v>
      </c>
      <c r="O17" s="106" t="s">
        <v>4</v>
      </c>
      <c r="P17" s="104" t="s">
        <v>15</v>
      </c>
      <c r="Q17" s="107" t="s">
        <v>4</v>
      </c>
      <c r="R17" s="108" t="s">
        <v>96</v>
      </c>
      <c r="S17" s="104" t="s">
        <v>97</v>
      </c>
      <c r="T17" s="104" t="s">
        <v>16</v>
      </c>
      <c r="U17" s="104" t="s">
        <v>7</v>
      </c>
      <c r="V17" s="109" t="s">
        <v>6</v>
      </c>
      <c r="W17" s="110" t="s">
        <v>7</v>
      </c>
      <c r="X17" s="111" t="s">
        <v>5</v>
      </c>
    </row>
    <row r="18" spans="2:24">
      <c r="B18" s="339" t="s">
        <v>9</v>
      </c>
      <c r="C18" s="24"/>
      <c r="D18" s="14"/>
      <c r="E18" s="24"/>
      <c r="F18" s="19"/>
      <c r="G18" s="25"/>
      <c r="H18" s="29"/>
      <c r="I18" s="29"/>
      <c r="J18" s="91"/>
      <c r="K18" s="92"/>
      <c r="L18" s="91"/>
      <c r="M18" s="93"/>
      <c r="N18" s="93"/>
      <c r="O18" s="93"/>
      <c r="P18" s="93"/>
      <c r="Q18" s="94"/>
      <c r="R18" s="95"/>
      <c r="S18" s="96"/>
      <c r="T18" s="96"/>
      <c r="U18" s="96"/>
      <c r="V18" s="96"/>
      <c r="W18" s="96"/>
      <c r="X18" s="94"/>
    </row>
    <row r="19" spans="2:24">
      <c r="B19" s="340"/>
      <c r="C19" s="122" t="s">
        <v>317</v>
      </c>
      <c r="D19" s="393" t="s">
        <v>165</v>
      </c>
      <c r="E19" s="4"/>
      <c r="F19" s="7"/>
      <c r="G19" s="23"/>
      <c r="H19" s="21"/>
      <c r="I19" s="21"/>
      <c r="J19" s="97"/>
      <c r="K19" s="98"/>
      <c r="L19" s="97" t="s">
        <v>84</v>
      </c>
      <c r="M19" s="86"/>
      <c r="N19" s="86"/>
      <c r="O19" s="86" t="s">
        <v>84</v>
      </c>
      <c r="P19" s="86"/>
      <c r="Q19" s="99"/>
      <c r="R19" s="100"/>
      <c r="S19" s="86"/>
      <c r="T19" s="86"/>
      <c r="U19" s="86"/>
      <c r="V19" s="86"/>
      <c r="W19" s="86"/>
      <c r="X19" s="99"/>
    </row>
    <row r="20" spans="2:24">
      <c r="B20" s="340"/>
      <c r="C20" s="5" t="s">
        <v>318</v>
      </c>
      <c r="D20" s="5" t="s">
        <v>164</v>
      </c>
      <c r="E20" s="4" t="s">
        <v>10</v>
      </c>
      <c r="F20" s="7"/>
      <c r="G20" s="23"/>
      <c r="H20" s="21"/>
      <c r="I20" s="21"/>
      <c r="J20" s="97"/>
      <c r="K20" s="98"/>
      <c r="L20" s="97"/>
      <c r="M20" s="86"/>
      <c r="N20" s="86"/>
      <c r="O20" s="86"/>
      <c r="P20" s="86"/>
      <c r="Q20" s="99"/>
      <c r="R20" s="100"/>
      <c r="S20" s="86"/>
      <c r="T20" s="86"/>
      <c r="U20" s="86" t="s">
        <v>87</v>
      </c>
      <c r="V20" s="86"/>
      <c r="W20" s="86"/>
      <c r="X20" s="101"/>
    </row>
    <row r="21" spans="2:24">
      <c r="B21" s="340"/>
      <c r="C21" s="5" t="s">
        <v>318</v>
      </c>
      <c r="D21" s="5" t="s">
        <v>162</v>
      </c>
      <c r="E21" s="4" t="s">
        <v>11</v>
      </c>
      <c r="F21" s="7"/>
      <c r="G21" s="23"/>
      <c r="H21" s="21"/>
      <c r="I21" s="21"/>
      <c r="J21" s="97"/>
      <c r="K21" s="98"/>
      <c r="L21" s="97"/>
      <c r="M21" s="86"/>
      <c r="N21" s="86"/>
      <c r="O21" s="86"/>
      <c r="P21" s="86"/>
      <c r="Q21" s="99"/>
      <c r="R21" s="100"/>
      <c r="S21" s="86"/>
      <c r="T21" s="86" t="s">
        <v>88</v>
      </c>
      <c r="U21" s="86"/>
      <c r="V21" s="86"/>
      <c r="W21" s="86"/>
      <c r="X21" s="101"/>
    </row>
    <row r="22" spans="2:24">
      <c r="B22" s="340"/>
      <c r="C22" s="5" t="s">
        <v>317</v>
      </c>
      <c r="D22" s="4" t="s">
        <v>492</v>
      </c>
      <c r="E22" s="3"/>
      <c r="F22" s="7"/>
      <c r="G22" s="23"/>
      <c r="H22" s="21"/>
      <c r="I22" s="21"/>
      <c r="J22" s="97"/>
      <c r="K22" s="98"/>
      <c r="L22" s="97" t="s">
        <v>84</v>
      </c>
      <c r="M22" s="86"/>
      <c r="N22" s="86" t="s">
        <v>84</v>
      </c>
      <c r="O22" s="86"/>
      <c r="P22" s="86"/>
      <c r="Q22" s="99"/>
      <c r="R22" s="100"/>
      <c r="S22" s="86" t="s">
        <v>84</v>
      </c>
      <c r="T22" s="86"/>
      <c r="U22" s="86" t="s">
        <v>84</v>
      </c>
      <c r="V22" s="86"/>
      <c r="W22" s="86"/>
      <c r="X22" s="101"/>
    </row>
    <row r="23" spans="2:24">
      <c r="B23" s="340"/>
      <c r="C23" s="122" t="s">
        <v>438</v>
      </c>
      <c r="D23" s="123" t="s">
        <v>68</v>
      </c>
      <c r="E23" s="124"/>
      <c r="F23" s="125"/>
      <c r="G23" s="126"/>
      <c r="H23" s="127"/>
      <c r="I23" s="127"/>
      <c r="J23" s="128"/>
      <c r="K23" s="129"/>
      <c r="L23" s="128"/>
      <c r="M23" s="130"/>
      <c r="N23" s="130"/>
      <c r="O23" s="130"/>
      <c r="P23" s="130"/>
      <c r="Q23" s="131"/>
      <c r="R23" s="132"/>
      <c r="S23" s="130"/>
      <c r="T23" s="130" t="s">
        <v>84</v>
      </c>
      <c r="U23" s="130"/>
      <c r="V23" s="130"/>
      <c r="W23" s="130"/>
      <c r="X23" s="133"/>
    </row>
    <row r="24" spans="2:24" ht="16.5" thickBot="1">
      <c r="B24" s="341"/>
      <c r="C24" s="134" t="s">
        <v>439</v>
      </c>
      <c r="D24" s="135" t="s">
        <v>67</v>
      </c>
      <c r="E24" s="136"/>
      <c r="F24" s="134"/>
      <c r="G24" s="137"/>
      <c r="H24" s="138"/>
      <c r="I24" s="138"/>
      <c r="J24" s="139"/>
      <c r="K24" s="140"/>
      <c r="L24" s="139" t="s">
        <v>84</v>
      </c>
      <c r="M24" s="141"/>
      <c r="N24" s="142"/>
      <c r="O24" s="141"/>
      <c r="P24" s="141"/>
      <c r="Q24" s="143"/>
      <c r="R24" s="144"/>
      <c r="S24" s="142"/>
      <c r="T24" s="142"/>
      <c r="U24" s="142"/>
      <c r="V24" s="142"/>
      <c r="W24" s="142"/>
      <c r="X24" s="145"/>
    </row>
    <row r="25" spans="2:24">
      <c r="B25" s="29"/>
    </row>
    <row r="26" spans="2:24">
      <c r="B26" s="2"/>
    </row>
    <row r="27" spans="2:24">
      <c r="V27" s="10"/>
      <c r="W27" t="s">
        <v>89</v>
      </c>
    </row>
    <row r="28" spans="2:24">
      <c r="V28" s="11"/>
      <c r="W28" t="s">
        <v>12</v>
      </c>
    </row>
    <row r="29" spans="2:24">
      <c r="V29" s="12"/>
      <c r="W29" t="s">
        <v>13</v>
      </c>
    </row>
    <row r="30" spans="2:24">
      <c r="V30" s="13"/>
      <c r="W30" t="s">
        <v>14</v>
      </c>
    </row>
  </sheetData>
  <mergeCells count="30">
    <mergeCell ref="J3:K3"/>
    <mergeCell ref="L3:Q3"/>
    <mergeCell ref="R3:X3"/>
    <mergeCell ref="G14:I14"/>
    <mergeCell ref="L14:Q14"/>
    <mergeCell ref="R14:X14"/>
    <mergeCell ref="J14:K14"/>
    <mergeCell ref="L4:N4"/>
    <mergeCell ref="O4:Q4"/>
    <mergeCell ref="R4:U4"/>
    <mergeCell ref="V4:X4"/>
    <mergeCell ref="T5:U5"/>
    <mergeCell ref="O5:P5"/>
    <mergeCell ref="L5:M5"/>
    <mergeCell ref="R5:S5"/>
    <mergeCell ref="V5:W5"/>
    <mergeCell ref="B7:B13"/>
    <mergeCell ref="B18:B24"/>
    <mergeCell ref="G3:I3"/>
    <mergeCell ref="B3:F3"/>
    <mergeCell ref="B14:F14"/>
    <mergeCell ref="L15:N15"/>
    <mergeCell ref="O15:Q15"/>
    <mergeCell ref="R15:U15"/>
    <mergeCell ref="V15:X15"/>
    <mergeCell ref="L16:M16"/>
    <mergeCell ref="O16:P16"/>
    <mergeCell ref="R16:S16"/>
    <mergeCell ref="T16:U16"/>
    <mergeCell ref="V16:W16"/>
  </mergeCells>
  <phoneticPr fontId="3"/>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7"/>
  <sheetViews>
    <sheetView zoomScaleNormal="100" workbookViewId="0">
      <selection activeCell="B17" sqref="B17"/>
    </sheetView>
  </sheetViews>
  <sheetFormatPr defaultRowHeight="15.75"/>
  <cols>
    <col min="2" max="2" width="15.7109375" bestFit="1" customWidth="1"/>
    <col min="3" max="3" width="15.7109375" customWidth="1"/>
    <col min="15" max="15" width="17.85546875" bestFit="1" customWidth="1"/>
    <col min="16" max="16" width="11.5703125" customWidth="1"/>
  </cols>
  <sheetData>
    <row r="1" spans="1:31" ht="16.5" thickBot="1">
      <c r="AA1" s="54" t="s">
        <v>29</v>
      </c>
      <c r="AB1" s="45">
        <v>4</v>
      </c>
      <c r="AC1" s="54" t="s">
        <v>30</v>
      </c>
      <c r="AD1" s="45">
        <v>2</v>
      </c>
    </row>
    <row r="2" spans="1:31" ht="16.5" thickBot="1">
      <c r="AA2" s="54" t="s">
        <v>29</v>
      </c>
      <c r="AB2" s="45">
        <v>8</v>
      </c>
      <c r="AC2" s="54" t="s">
        <v>30</v>
      </c>
      <c r="AD2" s="45">
        <v>2</v>
      </c>
    </row>
    <row r="3" spans="1:31">
      <c r="AA3" s="55" t="s">
        <v>26</v>
      </c>
      <c r="AB3" s="55">
        <v>1920</v>
      </c>
      <c r="AC3" s="55" t="s">
        <v>27</v>
      </c>
      <c r="AD3" s="55">
        <v>1088</v>
      </c>
    </row>
    <row r="4" spans="1:31">
      <c r="AA4" t="s">
        <v>55</v>
      </c>
      <c r="AB4">
        <f>AB3*AD3</f>
        <v>2088960</v>
      </c>
    </row>
    <row r="5" spans="1:31">
      <c r="AA5" t="s">
        <v>56</v>
      </c>
      <c r="AB5">
        <f>AB3</f>
        <v>1920</v>
      </c>
    </row>
    <row r="6" spans="1:31">
      <c r="AA6" t="s">
        <v>57</v>
      </c>
      <c r="AB6">
        <v>64</v>
      </c>
    </row>
    <row r="8" spans="1:31" ht="16.5" thickBot="1">
      <c r="B8" s="3"/>
      <c r="C8" s="3"/>
      <c r="D8" s="3"/>
      <c r="E8" s="3"/>
      <c r="F8" s="3"/>
    </row>
    <row r="9" spans="1:31" ht="16.5" thickBot="1">
      <c r="A9" s="56" t="s">
        <v>50</v>
      </c>
      <c r="B9" s="18"/>
      <c r="C9" s="18"/>
      <c r="D9" s="18"/>
      <c r="E9" s="18"/>
      <c r="F9" s="18"/>
      <c r="G9" s="51" t="s">
        <v>64</v>
      </c>
      <c r="H9" s="42"/>
      <c r="I9" s="42"/>
      <c r="J9" s="42"/>
      <c r="K9" s="42"/>
      <c r="L9" s="42"/>
      <c r="M9" s="42"/>
      <c r="N9" s="52"/>
      <c r="O9" s="42" t="s">
        <v>65</v>
      </c>
      <c r="P9" s="57" t="s">
        <v>66</v>
      </c>
      <c r="R9" s="60" t="s">
        <v>41</v>
      </c>
      <c r="S9" s="24"/>
      <c r="T9" s="24"/>
      <c r="U9" s="24"/>
      <c r="V9" s="24"/>
      <c r="W9" s="24"/>
      <c r="X9" s="24"/>
      <c r="Y9" s="24"/>
      <c r="Z9" s="24"/>
      <c r="AA9" s="60"/>
      <c r="AB9" s="61"/>
      <c r="AC9" s="24"/>
      <c r="AD9" s="61"/>
    </row>
    <row r="10" spans="1:31" ht="16.5" thickBot="1">
      <c r="B10" s="18" t="s">
        <v>35</v>
      </c>
      <c r="C10" s="18" t="s">
        <v>33</v>
      </c>
      <c r="D10" s="18" t="s">
        <v>26</v>
      </c>
      <c r="E10" s="18" t="s">
        <v>27</v>
      </c>
      <c r="F10" s="18" t="s">
        <v>32</v>
      </c>
      <c r="G10" s="49" t="s">
        <v>25</v>
      </c>
      <c r="H10" s="50" t="s">
        <v>100</v>
      </c>
      <c r="I10" s="71" t="s">
        <v>37</v>
      </c>
      <c r="J10" s="50"/>
      <c r="K10" s="50" t="s">
        <v>71</v>
      </c>
      <c r="L10" s="50" t="s">
        <v>73</v>
      </c>
      <c r="M10" s="50" t="s">
        <v>31</v>
      </c>
      <c r="N10" s="70" t="s">
        <v>36</v>
      </c>
      <c r="O10" s="68" t="s">
        <v>93</v>
      </c>
      <c r="P10" s="69" t="s">
        <v>58</v>
      </c>
      <c r="R10" s="62" t="s">
        <v>28</v>
      </c>
      <c r="S10" s="53" t="s">
        <v>74</v>
      </c>
      <c r="T10" s="53" t="s">
        <v>78</v>
      </c>
      <c r="U10" s="53" t="s">
        <v>75</v>
      </c>
      <c r="V10" s="53"/>
      <c r="W10" s="53" t="s">
        <v>70</v>
      </c>
      <c r="X10" s="53" t="s">
        <v>72</v>
      </c>
      <c r="Y10" s="53" t="s">
        <v>76</v>
      </c>
      <c r="Z10" s="53" t="s">
        <v>77</v>
      </c>
      <c r="AA10" s="62" t="s">
        <v>26</v>
      </c>
      <c r="AB10" s="76" t="s">
        <v>27</v>
      </c>
      <c r="AC10" s="63" t="s">
        <v>54</v>
      </c>
      <c r="AD10" s="64" t="s">
        <v>59</v>
      </c>
      <c r="AE10" s="65"/>
    </row>
    <row r="11" spans="1:31">
      <c r="G11" s="17"/>
      <c r="H11" s="3"/>
      <c r="I11" s="3"/>
      <c r="J11" s="3"/>
      <c r="K11" s="3"/>
      <c r="L11" s="3"/>
      <c r="M11" s="3"/>
      <c r="N11" s="20"/>
      <c r="P11" s="58"/>
    </row>
    <row r="12" spans="1:31">
      <c r="C12" s="44" t="s">
        <v>42</v>
      </c>
      <c r="D12">
        <f>D17</f>
        <v>8</v>
      </c>
      <c r="E12">
        <f>E17+R12-1</f>
        <v>11</v>
      </c>
      <c r="F12">
        <f>F17</f>
        <v>1</v>
      </c>
      <c r="G12" s="17">
        <f t="shared" ref="G12:I13" si="0">$D12*$E12*S12*$F12</f>
        <v>704</v>
      </c>
      <c r="H12" s="3">
        <f t="shared" si="0"/>
        <v>616</v>
      </c>
      <c r="I12" s="3">
        <f t="shared" si="0"/>
        <v>88</v>
      </c>
      <c r="J12" s="3"/>
      <c r="K12" s="3">
        <f t="shared" ref="K12:N13" si="1">$D12*$E12*W12*$F12</f>
        <v>0</v>
      </c>
      <c r="L12" s="3">
        <f t="shared" si="1"/>
        <v>0</v>
      </c>
      <c r="M12" s="3">
        <f t="shared" si="1"/>
        <v>0</v>
      </c>
      <c r="N12" s="20">
        <f t="shared" si="1"/>
        <v>0</v>
      </c>
      <c r="O12">
        <f>$AA12*$AB12*F12*AC12/8</f>
        <v>330</v>
      </c>
      <c r="P12" s="58">
        <f>AA12*AB12*AC12/8*F12+D17*E17*AC12/8</f>
        <v>394</v>
      </c>
      <c r="R12">
        <v>8</v>
      </c>
      <c r="S12">
        <f>R12</f>
        <v>8</v>
      </c>
      <c r="T12">
        <f>R12-1</f>
        <v>7</v>
      </c>
      <c r="U12">
        <v>1</v>
      </c>
      <c r="AA12">
        <f>D17+R12-1</f>
        <v>15</v>
      </c>
      <c r="AB12">
        <f>E17+R12-1</f>
        <v>11</v>
      </c>
      <c r="AC12">
        <f>16</f>
        <v>16</v>
      </c>
      <c r="AD12">
        <f>$AB$4</f>
        <v>2088960</v>
      </c>
    </row>
    <row r="13" spans="1:31">
      <c r="C13" s="44" t="s">
        <v>43</v>
      </c>
      <c r="D13">
        <f>D17</f>
        <v>8</v>
      </c>
      <c r="E13">
        <f>E17</f>
        <v>4</v>
      </c>
      <c r="F13">
        <f>F17</f>
        <v>1</v>
      </c>
      <c r="G13" s="17">
        <f t="shared" si="0"/>
        <v>256</v>
      </c>
      <c r="H13" s="3">
        <f t="shared" si="0"/>
        <v>224</v>
      </c>
      <c r="I13" s="3">
        <f t="shared" si="0"/>
        <v>32</v>
      </c>
      <c r="J13" s="3"/>
      <c r="K13" s="3">
        <f t="shared" si="1"/>
        <v>0</v>
      </c>
      <c r="L13" s="3">
        <f t="shared" si="1"/>
        <v>0</v>
      </c>
      <c r="M13" s="3">
        <f t="shared" si="1"/>
        <v>0</v>
      </c>
      <c r="N13" s="20">
        <f t="shared" si="1"/>
        <v>0</v>
      </c>
      <c r="P13" s="58"/>
      <c r="R13">
        <v>8</v>
      </c>
      <c r="S13">
        <f>R13</f>
        <v>8</v>
      </c>
      <c r="T13">
        <f>R13-1</f>
        <v>7</v>
      </c>
      <c r="U13">
        <v>1</v>
      </c>
    </row>
    <row r="14" spans="1:31">
      <c r="G14" s="17"/>
      <c r="H14" s="3"/>
      <c r="I14" s="3"/>
      <c r="J14" s="3"/>
      <c r="K14" s="3"/>
      <c r="L14" s="3"/>
      <c r="M14" s="3"/>
      <c r="N14" s="20"/>
      <c r="P14" s="58"/>
    </row>
    <row r="15" spans="1:31">
      <c r="B15" t="s">
        <v>34</v>
      </c>
      <c r="G15" s="17"/>
      <c r="H15" s="3"/>
      <c r="I15" s="3"/>
      <c r="J15" s="3"/>
      <c r="K15" s="3"/>
      <c r="L15" s="3"/>
      <c r="M15" s="3"/>
      <c r="N15" s="20"/>
      <c r="P15" s="58"/>
    </row>
    <row r="16" spans="1:31" ht="16.5" thickBot="1">
      <c r="B16" t="s">
        <v>34</v>
      </c>
      <c r="G16" s="17"/>
      <c r="H16" s="3"/>
      <c r="I16" s="3"/>
      <c r="J16" s="3"/>
      <c r="K16" s="3"/>
      <c r="L16" s="3"/>
      <c r="M16" s="3"/>
      <c r="N16" s="20"/>
      <c r="P16" s="58"/>
    </row>
    <row r="17" spans="1:30" ht="16.5" thickBot="1">
      <c r="B17" s="66" t="s">
        <v>83</v>
      </c>
      <c r="C17" s="75" t="s">
        <v>82</v>
      </c>
      <c r="D17" s="43">
        <v>8</v>
      </c>
      <c r="E17" s="43">
        <v>4</v>
      </c>
      <c r="F17" s="43">
        <v>1</v>
      </c>
      <c r="G17" s="47">
        <f t="shared" ref="G17" si="2">SUM(G11:G16) / ($D17*$E17)</f>
        <v>30</v>
      </c>
      <c r="H17" s="46">
        <f t="shared" ref="H17" si="3">SUM(H11:H16) / ($D17*$E17)</f>
        <v>26.25</v>
      </c>
      <c r="I17" s="46">
        <f t="shared" ref="I17" si="4">SUM(I11:I16) / ($D17*$E17)</f>
        <v>3.75</v>
      </c>
      <c r="J17" s="46"/>
      <c r="K17" s="46">
        <f t="shared" ref="K17" si="5">SUM(K11:K16) / ($D17*$E17)</f>
        <v>0</v>
      </c>
      <c r="L17" s="46">
        <f t="shared" ref="L17" si="6">SUM(L11:L16) / ($D17*$E17)</f>
        <v>0</v>
      </c>
      <c r="M17" s="46">
        <f t="shared" ref="M17" si="7">SUM(M11:M16) / ($D17*$E17)</f>
        <v>0</v>
      </c>
      <c r="N17" s="48">
        <f>SUM(N11:N16) / ($D17*$E17)</f>
        <v>0</v>
      </c>
      <c r="O17" s="47">
        <f t="shared" ref="O17" si="8">SUM(O11:O16) / ($D17*$E17)</f>
        <v>10.3125</v>
      </c>
      <c r="P17" s="59">
        <f>SUM(P12:P13) / ($D17*$E17)</f>
        <v>12.3125</v>
      </c>
    </row>
    <row r="22" spans="1:30" ht="16.5" thickBot="1"/>
    <row r="23" spans="1:30" ht="16.5" thickBot="1">
      <c r="A23" s="56" t="s">
        <v>51</v>
      </c>
      <c r="G23" s="72" t="s">
        <v>64</v>
      </c>
      <c r="H23" s="73"/>
      <c r="I23" s="73"/>
      <c r="J23" s="73"/>
      <c r="K23" s="73"/>
      <c r="L23" s="73"/>
      <c r="M23" s="73"/>
      <c r="N23" s="74"/>
      <c r="O23" s="42" t="s">
        <v>65</v>
      </c>
      <c r="P23" s="57" t="s">
        <v>66</v>
      </c>
      <c r="R23" s="60" t="s">
        <v>41</v>
      </c>
      <c r="S23" s="24"/>
      <c r="T23" s="24"/>
      <c r="U23" s="24"/>
      <c r="V23" s="24"/>
      <c r="W23" s="24"/>
      <c r="X23" s="24"/>
      <c r="Y23" s="24"/>
      <c r="Z23" s="24"/>
      <c r="AA23" s="60"/>
      <c r="AB23" s="61"/>
      <c r="AC23" s="24"/>
      <c r="AD23" s="61"/>
    </row>
    <row r="24" spans="1:30" ht="16.5" thickBot="1">
      <c r="B24" s="42" t="s">
        <v>35</v>
      </c>
      <c r="C24" s="42" t="s">
        <v>33</v>
      </c>
      <c r="D24" s="42" t="s">
        <v>26</v>
      </c>
      <c r="E24" s="42" t="s">
        <v>27</v>
      </c>
      <c r="F24" s="42" t="s">
        <v>32</v>
      </c>
      <c r="G24" s="49" t="s">
        <v>25</v>
      </c>
      <c r="H24" s="50" t="s">
        <v>100</v>
      </c>
      <c r="I24" s="71" t="s">
        <v>37</v>
      </c>
      <c r="J24" s="50"/>
      <c r="K24" s="50" t="s">
        <v>71</v>
      </c>
      <c r="L24" s="50" t="s">
        <v>73</v>
      </c>
      <c r="M24" s="50" t="s">
        <v>31</v>
      </c>
      <c r="N24" s="70" t="s">
        <v>36</v>
      </c>
      <c r="O24" s="68" t="s">
        <v>92</v>
      </c>
      <c r="P24" s="69" t="s">
        <v>58</v>
      </c>
      <c r="R24" s="62" t="s">
        <v>28</v>
      </c>
      <c r="S24" s="53" t="s">
        <v>74</v>
      </c>
      <c r="T24" s="53" t="s">
        <v>78</v>
      </c>
      <c r="U24" s="53" t="s">
        <v>75</v>
      </c>
      <c r="V24" s="53"/>
      <c r="W24" s="53" t="s">
        <v>70</v>
      </c>
      <c r="X24" s="53" t="s">
        <v>72</v>
      </c>
      <c r="Y24" s="53" t="s">
        <v>76</v>
      </c>
      <c r="Z24" s="53" t="s">
        <v>77</v>
      </c>
      <c r="AA24" s="62" t="s">
        <v>26</v>
      </c>
      <c r="AB24" s="76" t="s">
        <v>27</v>
      </c>
      <c r="AC24" s="63" t="s">
        <v>54</v>
      </c>
      <c r="AD24" s="64" t="s">
        <v>59</v>
      </c>
    </row>
    <row r="25" spans="1:30">
      <c r="G25" s="17"/>
      <c r="H25" s="3"/>
      <c r="I25" s="3"/>
      <c r="J25" s="3"/>
      <c r="K25" s="3"/>
      <c r="L25" s="3"/>
      <c r="M25" s="3"/>
      <c r="N25" s="20"/>
      <c r="P25" s="58"/>
    </row>
    <row r="26" spans="1:30">
      <c r="C26" s="44" t="s">
        <v>44</v>
      </c>
      <c r="D26">
        <f>D31</f>
        <v>4</v>
      </c>
      <c r="E26">
        <f>E31+R26-1</f>
        <v>15</v>
      </c>
      <c r="F26">
        <f>F31</f>
        <v>1</v>
      </c>
      <c r="G26" s="17">
        <f t="shared" ref="G26:I27" si="9">$D26*$E26*S26*$F26</f>
        <v>480</v>
      </c>
      <c r="H26" s="3">
        <f t="shared" si="9"/>
        <v>420</v>
      </c>
      <c r="I26" s="3">
        <f t="shared" si="9"/>
        <v>60</v>
      </c>
      <c r="J26" s="3"/>
      <c r="K26" s="3">
        <f t="shared" ref="K26:N27" si="10">$D26*$E26*W26*$F26</f>
        <v>0</v>
      </c>
      <c r="L26" s="3">
        <f t="shared" si="10"/>
        <v>0</v>
      </c>
      <c r="M26" s="3">
        <f t="shared" si="10"/>
        <v>0</v>
      </c>
      <c r="N26" s="20">
        <f t="shared" si="10"/>
        <v>0</v>
      </c>
      <c r="O26">
        <f>$AA26*$AB26*F26*AC26/8</f>
        <v>330</v>
      </c>
      <c r="P26" s="58">
        <f>AA26*AB26*AC26/8*F26+D31*E31*AC26/8</f>
        <v>394</v>
      </c>
      <c r="R26">
        <v>8</v>
      </c>
      <c r="S26">
        <f>R26</f>
        <v>8</v>
      </c>
      <c r="T26">
        <f>R26-1</f>
        <v>7</v>
      </c>
      <c r="U26">
        <v>1</v>
      </c>
      <c r="AA26">
        <f>D31+R26-1</f>
        <v>11</v>
      </c>
      <c r="AB26">
        <f>E31+R26-1</f>
        <v>15</v>
      </c>
      <c r="AC26">
        <f>16</f>
        <v>16</v>
      </c>
      <c r="AD26">
        <f>$AB$4</f>
        <v>2088960</v>
      </c>
    </row>
    <row r="27" spans="1:30">
      <c r="C27" s="44" t="s">
        <v>45</v>
      </c>
      <c r="D27">
        <f>D31</f>
        <v>4</v>
      </c>
      <c r="E27">
        <f>E31</f>
        <v>8</v>
      </c>
      <c r="F27">
        <f>F31</f>
        <v>1</v>
      </c>
      <c r="G27" s="17">
        <f t="shared" si="9"/>
        <v>256</v>
      </c>
      <c r="H27" s="3">
        <f t="shared" si="9"/>
        <v>224</v>
      </c>
      <c r="I27" s="3">
        <f t="shared" si="9"/>
        <v>32</v>
      </c>
      <c r="J27" s="3"/>
      <c r="K27" s="3">
        <f t="shared" si="10"/>
        <v>0</v>
      </c>
      <c r="L27" s="3">
        <f t="shared" si="10"/>
        <v>0</v>
      </c>
      <c r="M27" s="3">
        <f t="shared" si="10"/>
        <v>0</v>
      </c>
      <c r="N27" s="20">
        <f t="shared" si="10"/>
        <v>0</v>
      </c>
      <c r="P27" s="58"/>
      <c r="R27">
        <v>8</v>
      </c>
      <c r="S27">
        <f>R27</f>
        <v>8</v>
      </c>
      <c r="T27">
        <f>R27-1</f>
        <v>7</v>
      </c>
      <c r="U27">
        <v>1</v>
      </c>
    </row>
    <row r="28" spans="1:30">
      <c r="G28" s="17"/>
      <c r="H28" s="3"/>
      <c r="I28" s="3"/>
      <c r="J28" s="3"/>
      <c r="K28" s="3"/>
      <c r="L28" s="3"/>
      <c r="M28" s="3"/>
      <c r="N28" s="20"/>
      <c r="P28" s="58"/>
    </row>
    <row r="29" spans="1:30">
      <c r="B29" t="s">
        <v>34</v>
      </c>
      <c r="G29" s="17"/>
      <c r="H29" s="3"/>
      <c r="I29" s="3"/>
      <c r="J29" s="3"/>
      <c r="K29" s="3"/>
      <c r="L29" s="3"/>
      <c r="M29" s="3"/>
      <c r="N29" s="20"/>
      <c r="P29" s="58"/>
    </row>
    <row r="30" spans="1:30" ht="16.5" thickBot="1">
      <c r="B30" t="s">
        <v>34</v>
      </c>
      <c r="G30" s="17"/>
      <c r="H30" s="3"/>
      <c r="I30" s="3"/>
      <c r="J30" s="3"/>
      <c r="K30" s="3"/>
      <c r="L30" s="3"/>
      <c r="M30" s="3"/>
      <c r="N30" s="20"/>
      <c r="P30" s="58"/>
    </row>
    <row r="31" spans="1:30" ht="16.5" thickBot="1">
      <c r="B31" s="66" t="s">
        <v>39</v>
      </c>
      <c r="C31" s="75" t="s">
        <v>82</v>
      </c>
      <c r="D31" s="43">
        <v>4</v>
      </c>
      <c r="E31" s="43">
        <v>8</v>
      </c>
      <c r="F31" s="43">
        <v>1</v>
      </c>
      <c r="G31" s="47">
        <f t="shared" ref="G31" si="11">SUM(G25:G30) / ($D31*$E31)</f>
        <v>23</v>
      </c>
      <c r="H31" s="46">
        <f t="shared" ref="H31" si="12">SUM(H25:H30) / ($D31*$E31)</f>
        <v>20.125</v>
      </c>
      <c r="I31" s="46">
        <f t="shared" ref="I31" si="13">SUM(I25:I30) / ($D31*$E31)</f>
        <v>2.875</v>
      </c>
      <c r="J31" s="46"/>
      <c r="K31" s="46">
        <f t="shared" ref="K31" si="14">SUM(K25:K30) / ($D31*$E31)</f>
        <v>0</v>
      </c>
      <c r="L31" s="46">
        <f t="shared" ref="L31" si="15">SUM(L25:L30) / ($D31*$E31)</f>
        <v>0</v>
      </c>
      <c r="M31" s="46">
        <f t="shared" ref="M31" si="16">SUM(M25:M30) / ($D31*$E31)</f>
        <v>0</v>
      </c>
      <c r="N31" s="48">
        <f>SUM(N25:N30) / ($D31*$E31)</f>
        <v>0</v>
      </c>
      <c r="O31" s="47">
        <f t="shared" ref="O31" si="17">SUM(O25:O30) / ($D31*$E31)</f>
        <v>10.3125</v>
      </c>
      <c r="P31" s="59">
        <f>SUM(P26:P27) / ($D31*$E31)</f>
        <v>12.3125</v>
      </c>
    </row>
    <row r="34" spans="1:30" ht="16.5" thickBot="1"/>
    <row r="35" spans="1:30" ht="16.5" thickBot="1">
      <c r="A35" s="56" t="s">
        <v>52</v>
      </c>
      <c r="G35" s="51" t="s">
        <v>64</v>
      </c>
      <c r="H35" s="42"/>
      <c r="I35" s="42"/>
      <c r="J35" s="42"/>
      <c r="K35" s="42"/>
      <c r="L35" s="42"/>
      <c r="M35" s="42"/>
      <c r="N35" s="52"/>
      <c r="O35" s="42" t="s">
        <v>65</v>
      </c>
      <c r="P35" s="57" t="s">
        <v>66</v>
      </c>
      <c r="R35" s="60" t="s">
        <v>41</v>
      </c>
      <c r="S35" s="24"/>
      <c r="T35" s="24"/>
      <c r="U35" s="24"/>
      <c r="V35" s="24"/>
      <c r="W35" s="24"/>
      <c r="X35" s="24"/>
      <c r="Y35" s="24"/>
      <c r="Z35" s="24"/>
      <c r="AA35" s="60"/>
      <c r="AB35" s="61"/>
      <c r="AC35" s="24"/>
      <c r="AD35" s="61"/>
    </row>
    <row r="36" spans="1:30" ht="16.5" thickBot="1">
      <c r="B36" s="42" t="s">
        <v>35</v>
      </c>
      <c r="C36" s="42" t="s">
        <v>33</v>
      </c>
      <c r="D36" s="42" t="s">
        <v>26</v>
      </c>
      <c r="E36" s="42" t="s">
        <v>27</v>
      </c>
      <c r="F36" s="42" t="s">
        <v>32</v>
      </c>
      <c r="G36" s="49" t="s">
        <v>25</v>
      </c>
      <c r="H36" s="50" t="s">
        <v>100</v>
      </c>
      <c r="I36" s="71" t="s">
        <v>37</v>
      </c>
      <c r="J36" s="50"/>
      <c r="K36" s="50" t="s">
        <v>71</v>
      </c>
      <c r="L36" s="50" t="s">
        <v>73</v>
      </c>
      <c r="M36" s="50" t="s">
        <v>31</v>
      </c>
      <c r="N36" s="70" t="s">
        <v>36</v>
      </c>
      <c r="O36" s="68" t="s">
        <v>92</v>
      </c>
      <c r="P36" s="69" t="s">
        <v>58</v>
      </c>
      <c r="R36" s="62" t="s">
        <v>28</v>
      </c>
      <c r="S36" s="53" t="s">
        <v>74</v>
      </c>
      <c r="T36" s="53" t="s">
        <v>78</v>
      </c>
      <c r="U36" s="53" t="s">
        <v>75</v>
      </c>
      <c r="V36" s="53"/>
      <c r="W36" s="53" t="s">
        <v>70</v>
      </c>
      <c r="X36" s="53" t="s">
        <v>72</v>
      </c>
      <c r="Y36" s="53" t="s">
        <v>76</v>
      </c>
      <c r="Z36" s="53" t="s">
        <v>77</v>
      </c>
      <c r="AA36" s="62" t="s">
        <v>26</v>
      </c>
      <c r="AB36" s="76" t="s">
        <v>27</v>
      </c>
      <c r="AC36" s="63" t="s">
        <v>54</v>
      </c>
      <c r="AD36" s="64" t="s">
        <v>59</v>
      </c>
    </row>
    <row r="37" spans="1:30">
      <c r="G37" s="17"/>
      <c r="H37" s="3"/>
      <c r="I37" s="3"/>
      <c r="J37" s="3"/>
      <c r="K37" s="3"/>
      <c r="L37" s="3"/>
      <c r="M37" s="3"/>
      <c r="N37" s="20"/>
      <c r="P37" s="58"/>
    </row>
    <row r="38" spans="1:30">
      <c r="C38" s="44" t="s">
        <v>46</v>
      </c>
      <c r="D38">
        <f>D43</f>
        <v>8</v>
      </c>
      <c r="E38">
        <f>E43+R38-1</f>
        <v>15</v>
      </c>
      <c r="F38">
        <f>F43</f>
        <v>2</v>
      </c>
      <c r="G38" s="17">
        <f t="shared" ref="G38:I39" si="18">$D38*$E38*S38*$F38</f>
        <v>1920</v>
      </c>
      <c r="H38" s="3">
        <f t="shared" si="18"/>
        <v>1680</v>
      </c>
      <c r="I38" s="3">
        <f t="shared" si="18"/>
        <v>240</v>
      </c>
      <c r="J38" s="3"/>
      <c r="K38" s="3">
        <f t="shared" ref="K38:N39" si="19">$D38*$E38*W38*$F38</f>
        <v>0</v>
      </c>
      <c r="L38" s="3">
        <f t="shared" si="19"/>
        <v>0</v>
      </c>
      <c r="M38" s="3">
        <f t="shared" si="19"/>
        <v>0</v>
      </c>
      <c r="N38" s="20">
        <f t="shared" si="19"/>
        <v>0</v>
      </c>
      <c r="O38">
        <f>$AA38*$AB38*F38*AC38/8</f>
        <v>900</v>
      </c>
      <c r="P38" s="58">
        <f>AA38*AB38*AC38/8*F38+D43*E43*AC38/8</f>
        <v>1028</v>
      </c>
      <c r="R38">
        <v>8</v>
      </c>
      <c r="S38">
        <f>R38</f>
        <v>8</v>
      </c>
      <c r="T38">
        <f>R38-1</f>
        <v>7</v>
      </c>
      <c r="U38">
        <v>1</v>
      </c>
      <c r="AA38">
        <f>D43+R38-1</f>
        <v>15</v>
      </c>
      <c r="AB38">
        <f>E43+R38-1</f>
        <v>15</v>
      </c>
      <c r="AC38">
        <f>16</f>
        <v>16</v>
      </c>
      <c r="AD38">
        <f>$AB$4</f>
        <v>2088960</v>
      </c>
    </row>
    <row r="39" spans="1:30">
      <c r="C39" s="44" t="s">
        <v>47</v>
      </c>
      <c r="D39">
        <f>D43</f>
        <v>8</v>
      </c>
      <c r="E39">
        <f>E43</f>
        <v>8</v>
      </c>
      <c r="F39">
        <f>F43</f>
        <v>2</v>
      </c>
      <c r="G39" s="17">
        <f t="shared" si="18"/>
        <v>1024</v>
      </c>
      <c r="H39" s="3">
        <f t="shared" si="18"/>
        <v>896</v>
      </c>
      <c r="I39" s="3">
        <f t="shared" si="18"/>
        <v>128</v>
      </c>
      <c r="J39" s="3"/>
      <c r="K39" s="3">
        <f t="shared" si="19"/>
        <v>0</v>
      </c>
      <c r="L39" s="3">
        <f t="shared" si="19"/>
        <v>0</v>
      </c>
      <c r="M39" s="3">
        <f t="shared" si="19"/>
        <v>0</v>
      </c>
      <c r="N39" s="20">
        <f t="shared" si="19"/>
        <v>0</v>
      </c>
      <c r="P39" s="58"/>
      <c r="R39">
        <v>8</v>
      </c>
      <c r="S39">
        <f>R39</f>
        <v>8</v>
      </c>
      <c r="T39">
        <f>R39-1</f>
        <v>7</v>
      </c>
      <c r="U39">
        <v>1</v>
      </c>
    </row>
    <row r="40" spans="1:30">
      <c r="G40" s="17"/>
      <c r="H40" s="3"/>
      <c r="I40" s="3"/>
      <c r="J40" s="3"/>
      <c r="K40" s="3"/>
      <c r="L40" s="3"/>
      <c r="M40" s="3"/>
      <c r="N40" s="20"/>
      <c r="P40" s="58"/>
    </row>
    <row r="41" spans="1:30">
      <c r="B41" t="s">
        <v>34</v>
      </c>
      <c r="G41" s="17"/>
      <c r="H41" s="3"/>
      <c r="I41" s="3"/>
      <c r="J41" s="3"/>
      <c r="K41" s="3"/>
      <c r="L41" s="3"/>
      <c r="M41" s="3"/>
      <c r="N41" s="20"/>
      <c r="P41" s="58"/>
    </row>
    <row r="42" spans="1:30" ht="16.5" thickBot="1">
      <c r="B42" t="s">
        <v>34</v>
      </c>
      <c r="G42" s="17"/>
      <c r="H42" s="3"/>
      <c r="I42" s="3"/>
      <c r="J42" s="3"/>
      <c r="K42" s="3"/>
      <c r="L42" s="3"/>
      <c r="M42" s="3"/>
      <c r="N42" s="20"/>
      <c r="P42" s="58"/>
    </row>
    <row r="43" spans="1:30" ht="16.5" thickBot="1">
      <c r="B43" s="66" t="s">
        <v>38</v>
      </c>
      <c r="C43" s="75" t="s">
        <v>82</v>
      </c>
      <c r="D43" s="43">
        <v>8</v>
      </c>
      <c r="E43" s="43">
        <v>8</v>
      </c>
      <c r="F43" s="43">
        <v>2</v>
      </c>
      <c r="G43" s="47">
        <f t="shared" ref="G43" si="20">SUM(G37:G42) / ($D43*$E43)</f>
        <v>46</v>
      </c>
      <c r="H43" s="46">
        <f t="shared" ref="H43" si="21">SUM(H37:H42) / ($D43*$E43)</f>
        <v>40.25</v>
      </c>
      <c r="I43" s="46">
        <f t="shared" ref="I43" si="22">SUM(I37:I42) / ($D43*$E43)</f>
        <v>5.75</v>
      </c>
      <c r="J43" s="46"/>
      <c r="K43" s="46">
        <f t="shared" ref="K43" si="23">SUM(K37:K42) / ($D43*$E43)</f>
        <v>0</v>
      </c>
      <c r="L43" s="46">
        <f t="shared" ref="L43" si="24">SUM(L37:L42) / ($D43*$E43)</f>
        <v>0</v>
      </c>
      <c r="M43" s="46">
        <f t="shared" ref="M43" si="25">SUM(M37:M42) / ($D43*$E43)</f>
        <v>0</v>
      </c>
      <c r="N43" s="48">
        <f>SUM(N37:N42) / ($D43*$E43)</f>
        <v>0</v>
      </c>
      <c r="O43" s="47">
        <f t="shared" ref="O43" si="26">SUM(O37:O42) / ($D43*$E43)</f>
        <v>14.0625</v>
      </c>
      <c r="P43" s="59">
        <f>SUM(P38:P39) / ($D43*$E43)</f>
        <v>16.0625</v>
      </c>
    </row>
    <row r="47" spans="1:30" ht="16.5" thickBot="1"/>
    <row r="48" spans="1:30" ht="16.5" thickBot="1">
      <c r="A48" s="56" t="s">
        <v>53</v>
      </c>
      <c r="G48" s="51" t="s">
        <v>64</v>
      </c>
      <c r="H48" s="42"/>
      <c r="I48" s="42"/>
      <c r="J48" s="42"/>
      <c r="K48" s="42"/>
      <c r="L48" s="42"/>
      <c r="M48" s="42"/>
      <c r="N48" s="52"/>
      <c r="O48" s="42" t="s">
        <v>65</v>
      </c>
      <c r="P48" s="57" t="s">
        <v>66</v>
      </c>
      <c r="R48" s="60" t="s">
        <v>41</v>
      </c>
      <c r="S48" s="24"/>
      <c r="T48" s="24"/>
      <c r="U48" s="24"/>
      <c r="V48" s="24"/>
      <c r="W48" s="24"/>
      <c r="X48" s="24"/>
      <c r="Y48" s="24"/>
      <c r="Z48" s="24"/>
      <c r="AA48" s="60"/>
      <c r="AB48" s="61"/>
      <c r="AC48" s="24"/>
      <c r="AD48" s="61"/>
    </row>
    <row r="49" spans="1:30" ht="16.5" thickBot="1">
      <c r="B49" s="42" t="s">
        <v>35</v>
      </c>
      <c r="C49" s="42" t="s">
        <v>33</v>
      </c>
      <c r="D49" s="42" t="s">
        <v>26</v>
      </c>
      <c r="E49" s="42" t="s">
        <v>27</v>
      </c>
      <c r="F49" s="42" t="s">
        <v>32</v>
      </c>
      <c r="G49" s="49" t="s">
        <v>25</v>
      </c>
      <c r="H49" s="50" t="s">
        <v>100</v>
      </c>
      <c r="I49" s="71" t="s">
        <v>37</v>
      </c>
      <c r="J49" s="50"/>
      <c r="K49" s="50" t="s">
        <v>71</v>
      </c>
      <c r="L49" s="50" t="s">
        <v>73</v>
      </c>
      <c r="M49" s="50" t="s">
        <v>31</v>
      </c>
      <c r="N49" s="70" t="s">
        <v>36</v>
      </c>
      <c r="O49" s="68" t="s">
        <v>92</v>
      </c>
      <c r="P49" s="69" t="s">
        <v>58</v>
      </c>
      <c r="R49" s="62" t="s">
        <v>28</v>
      </c>
      <c r="S49" s="53" t="s">
        <v>74</v>
      </c>
      <c r="T49" s="53" t="s">
        <v>78</v>
      </c>
      <c r="U49" s="53" t="s">
        <v>75</v>
      </c>
      <c r="V49" s="53"/>
      <c r="W49" s="53" t="s">
        <v>70</v>
      </c>
      <c r="X49" s="53" t="s">
        <v>72</v>
      </c>
      <c r="Y49" s="53" t="s">
        <v>76</v>
      </c>
      <c r="Z49" s="53" t="s">
        <v>77</v>
      </c>
      <c r="AA49" s="62" t="s">
        <v>26</v>
      </c>
      <c r="AB49" s="76" t="s">
        <v>27</v>
      </c>
      <c r="AC49" s="63" t="s">
        <v>54</v>
      </c>
      <c r="AD49" s="64" t="s">
        <v>59</v>
      </c>
    </row>
    <row r="50" spans="1:30">
      <c r="G50" s="17"/>
      <c r="H50" s="3"/>
      <c r="I50" s="3"/>
      <c r="J50" s="3"/>
      <c r="K50" s="3"/>
      <c r="L50" s="3"/>
      <c r="M50" s="3"/>
      <c r="N50" s="20"/>
      <c r="P50" s="58"/>
    </row>
    <row r="51" spans="1:30">
      <c r="C51" s="44" t="s">
        <v>48</v>
      </c>
      <c r="D51">
        <f>D56</f>
        <v>8</v>
      </c>
      <c r="E51">
        <f>E56+R51-1</f>
        <v>9</v>
      </c>
      <c r="F51">
        <f>F56</f>
        <v>1</v>
      </c>
      <c r="G51" s="17">
        <f t="shared" ref="G51:I52" si="27">$D51*$E51*S51*$F51</f>
        <v>144</v>
      </c>
      <c r="H51" s="3">
        <f t="shared" si="27"/>
        <v>72</v>
      </c>
      <c r="I51" s="3">
        <f t="shared" si="27"/>
        <v>72</v>
      </c>
      <c r="J51" s="3"/>
      <c r="K51" s="3">
        <f t="shared" ref="K51:N52" si="28">$D51*$E51*W51*$F51</f>
        <v>0</v>
      </c>
      <c r="L51" s="3">
        <f t="shared" si="28"/>
        <v>0</v>
      </c>
      <c r="M51" s="3">
        <f t="shared" si="28"/>
        <v>0</v>
      </c>
      <c r="N51" s="20">
        <f t="shared" si="28"/>
        <v>0</v>
      </c>
      <c r="O51">
        <f>$AA51*$AB51*F51*AC51/8</f>
        <v>81</v>
      </c>
      <c r="P51" s="58">
        <f>AA51*AB51*AC51/8*F51+D56*E56*AC51/8</f>
        <v>145</v>
      </c>
      <c r="R51">
        <v>2</v>
      </c>
      <c r="S51">
        <f>R51</f>
        <v>2</v>
      </c>
      <c r="T51">
        <f>R51-1</f>
        <v>1</v>
      </c>
      <c r="U51">
        <v>1</v>
      </c>
      <c r="AA51">
        <f>D56+R51-1</f>
        <v>9</v>
      </c>
      <c r="AB51">
        <f>E56+R51-1</f>
        <v>9</v>
      </c>
      <c r="AC51">
        <v>8</v>
      </c>
      <c r="AD51">
        <f>$AB$4</f>
        <v>2088960</v>
      </c>
    </row>
    <row r="52" spans="1:30">
      <c r="C52" s="44" t="s">
        <v>49</v>
      </c>
      <c r="D52">
        <f>D56</f>
        <v>8</v>
      </c>
      <c r="E52">
        <f>E56</f>
        <v>8</v>
      </c>
      <c r="F52">
        <f>F56</f>
        <v>1</v>
      </c>
      <c r="G52" s="17">
        <f t="shared" si="27"/>
        <v>128</v>
      </c>
      <c r="H52" s="3">
        <f t="shared" si="27"/>
        <v>64</v>
      </c>
      <c r="I52" s="3">
        <f t="shared" si="27"/>
        <v>64</v>
      </c>
      <c r="J52" s="3"/>
      <c r="K52" s="3">
        <f t="shared" si="28"/>
        <v>0</v>
      </c>
      <c r="L52" s="3">
        <f t="shared" si="28"/>
        <v>0</v>
      </c>
      <c r="M52" s="3">
        <f t="shared" si="28"/>
        <v>0</v>
      </c>
      <c r="N52" s="20">
        <f t="shared" si="28"/>
        <v>0</v>
      </c>
      <c r="P52" s="58"/>
      <c r="R52">
        <v>2</v>
      </c>
      <c r="S52">
        <f>R52</f>
        <v>2</v>
      </c>
      <c r="T52">
        <f>R52-1</f>
        <v>1</v>
      </c>
      <c r="U52">
        <v>1</v>
      </c>
    </row>
    <row r="53" spans="1:30">
      <c r="G53" s="17"/>
      <c r="H53" s="3"/>
      <c r="I53" s="3"/>
      <c r="J53" s="3"/>
      <c r="K53" s="3"/>
      <c r="L53" s="3"/>
      <c r="M53" s="3"/>
      <c r="N53" s="20"/>
      <c r="P53" s="58"/>
    </row>
    <row r="54" spans="1:30">
      <c r="B54" t="s">
        <v>34</v>
      </c>
      <c r="G54" s="17"/>
      <c r="H54" s="3"/>
      <c r="I54" s="3"/>
      <c r="J54" s="3"/>
      <c r="K54" s="3"/>
      <c r="L54" s="3"/>
      <c r="M54" s="3"/>
      <c r="N54" s="20"/>
      <c r="P54" s="58"/>
    </row>
    <row r="55" spans="1:30" ht="16.5" thickBot="1">
      <c r="B55" t="s">
        <v>34</v>
      </c>
      <c r="G55" s="17"/>
      <c r="H55" s="3"/>
      <c r="I55" s="3"/>
      <c r="J55" s="3"/>
      <c r="K55" s="3"/>
      <c r="L55" s="3"/>
      <c r="M55" s="3"/>
      <c r="N55" s="20"/>
      <c r="P55" s="58"/>
    </row>
    <row r="56" spans="1:30" ht="16.5" thickBot="1">
      <c r="B56" s="66" t="s">
        <v>40</v>
      </c>
      <c r="C56" s="75" t="s">
        <v>82</v>
      </c>
      <c r="D56" s="43">
        <v>8</v>
      </c>
      <c r="E56" s="43">
        <v>8</v>
      </c>
      <c r="F56" s="43">
        <v>1</v>
      </c>
      <c r="G56" s="47">
        <f t="shared" ref="G56" si="29">SUM(G50:G55) / ($D56*$E56)</f>
        <v>4.25</v>
      </c>
      <c r="H56" s="46">
        <f t="shared" ref="H56" si="30">SUM(H50:H55) / ($D56*$E56)</f>
        <v>2.125</v>
      </c>
      <c r="I56" s="46">
        <f t="shared" ref="I56" si="31">SUM(I50:I55) / ($D56*$E56)</f>
        <v>2.125</v>
      </c>
      <c r="J56" s="46"/>
      <c r="K56" s="46">
        <f t="shared" ref="K56" si="32">SUM(K50:K55) / ($D56*$E56)</f>
        <v>0</v>
      </c>
      <c r="L56" s="46">
        <f t="shared" ref="L56" si="33">SUM(L50:L55) / ($D56*$E56)</f>
        <v>0</v>
      </c>
      <c r="M56" s="46">
        <f t="shared" ref="M56" si="34">SUM(M50:M55) / ($D56*$E56)</f>
        <v>0</v>
      </c>
      <c r="N56" s="48">
        <f>SUM(N50:N55) / ($D56*$E56)</f>
        <v>0</v>
      </c>
      <c r="O56" s="47">
        <f t="shared" ref="O56" si="35">SUM(O50:O55) / ($D56*$E56)</f>
        <v>1.265625</v>
      </c>
      <c r="P56" s="59">
        <f>SUM(P51:P52) / ($D56*$E56)</f>
        <v>2.265625</v>
      </c>
    </row>
    <row r="58" spans="1:30" ht="16.5" thickBot="1"/>
    <row r="59" spans="1:30" ht="16.5" thickBot="1">
      <c r="A59" s="56" t="s">
        <v>62</v>
      </c>
      <c r="G59" s="51" t="s">
        <v>64</v>
      </c>
      <c r="H59" s="42"/>
      <c r="I59" s="42"/>
      <c r="J59" s="42"/>
      <c r="K59" s="42"/>
      <c r="L59" s="42"/>
      <c r="M59" s="42"/>
      <c r="N59" s="52"/>
      <c r="O59" s="42" t="s">
        <v>65</v>
      </c>
      <c r="P59" s="57" t="s">
        <v>66</v>
      </c>
      <c r="R59" s="60" t="s">
        <v>41</v>
      </c>
      <c r="S59" s="24"/>
      <c r="T59" s="24"/>
      <c r="U59" s="24"/>
      <c r="V59" s="24"/>
      <c r="W59" s="24"/>
      <c r="X59" s="24"/>
      <c r="Y59" s="24"/>
      <c r="Z59" s="24"/>
      <c r="AA59" s="60"/>
      <c r="AB59" s="61"/>
      <c r="AC59" s="24"/>
      <c r="AD59" s="61"/>
    </row>
    <row r="60" spans="1:30" ht="16.5" thickBot="1">
      <c r="B60" s="42" t="s">
        <v>35</v>
      </c>
      <c r="C60" s="42" t="s">
        <v>33</v>
      </c>
      <c r="D60" s="42" t="s">
        <v>26</v>
      </c>
      <c r="E60" s="42" t="s">
        <v>27</v>
      </c>
      <c r="F60" s="42" t="s">
        <v>32</v>
      </c>
      <c r="G60" s="49" t="s">
        <v>25</v>
      </c>
      <c r="H60" s="50" t="s">
        <v>100</v>
      </c>
      <c r="I60" s="71" t="s">
        <v>37</v>
      </c>
      <c r="J60" s="50"/>
      <c r="K60" s="50" t="s">
        <v>71</v>
      </c>
      <c r="L60" s="50" t="s">
        <v>73</v>
      </c>
      <c r="M60" s="50" t="s">
        <v>31</v>
      </c>
      <c r="N60" s="70" t="s">
        <v>36</v>
      </c>
      <c r="O60" s="68" t="s">
        <v>91</v>
      </c>
      <c r="P60" s="69" t="s">
        <v>58</v>
      </c>
      <c r="R60" s="62" t="s">
        <v>28</v>
      </c>
      <c r="S60" s="53" t="s">
        <v>74</v>
      </c>
      <c r="T60" s="53" t="s">
        <v>78</v>
      </c>
      <c r="U60" s="53" t="s">
        <v>75</v>
      </c>
      <c r="V60" s="53"/>
      <c r="W60" s="53" t="s">
        <v>70</v>
      </c>
      <c r="X60" s="53" t="s">
        <v>72</v>
      </c>
      <c r="Y60" s="53" t="s">
        <v>76</v>
      </c>
      <c r="Z60" s="53" t="s">
        <v>77</v>
      </c>
      <c r="AA60" s="62" t="s">
        <v>26</v>
      </c>
      <c r="AB60" s="76" t="s">
        <v>27</v>
      </c>
      <c r="AC60" s="63" t="s">
        <v>54</v>
      </c>
      <c r="AD60" s="64" t="s">
        <v>59</v>
      </c>
    </row>
    <row r="61" spans="1:30">
      <c r="G61" s="17"/>
      <c r="N61" s="20"/>
      <c r="P61" s="58"/>
    </row>
    <row r="62" spans="1:30">
      <c r="B62" s="44" t="s">
        <v>69</v>
      </c>
      <c r="C62" s="44" t="s">
        <v>81</v>
      </c>
      <c r="D62">
        <f>D67</f>
        <v>16</v>
      </c>
      <c r="E62">
        <f>E67+R62-1</f>
        <v>17</v>
      </c>
      <c r="F62">
        <f>F67</f>
        <v>1</v>
      </c>
      <c r="G62" s="17">
        <f t="shared" ref="G62:I64" si="36">$D62*$E62*S62*$F62</f>
        <v>0</v>
      </c>
      <c r="H62" s="3">
        <f t="shared" si="36"/>
        <v>544</v>
      </c>
      <c r="I62" s="3">
        <f t="shared" si="36"/>
        <v>544</v>
      </c>
      <c r="J62" s="3"/>
      <c r="K62" s="3">
        <f t="shared" ref="K62:N64" si="37">$D62*$E62*W62*$F62</f>
        <v>272</v>
      </c>
      <c r="L62" s="3">
        <f t="shared" si="37"/>
        <v>0</v>
      </c>
      <c r="M62" s="3">
        <f t="shared" si="37"/>
        <v>0</v>
      </c>
      <c r="N62" s="20">
        <f t="shared" si="37"/>
        <v>0</v>
      </c>
      <c r="O62">
        <f>$AA62*$AB62*F62*AC62/8</f>
        <v>578</v>
      </c>
      <c r="P62" s="58">
        <f>AA62*AB62*AC62/8*F62+D67*E67*AC62/8</f>
        <v>1090</v>
      </c>
      <c r="R62">
        <v>2</v>
      </c>
      <c r="S62" s="67">
        <v>0</v>
      </c>
      <c r="T62" s="67">
        <v>2</v>
      </c>
      <c r="U62" s="67">
        <v>2</v>
      </c>
      <c r="V62" s="67"/>
      <c r="W62" s="67">
        <v>1</v>
      </c>
      <c r="X62" s="67">
        <v>0</v>
      </c>
      <c r="Y62" s="67">
        <v>0</v>
      </c>
      <c r="Z62" s="67"/>
      <c r="AA62">
        <f>D67+R62-1</f>
        <v>17</v>
      </c>
      <c r="AB62">
        <f>E67+R62-1</f>
        <v>17</v>
      </c>
      <c r="AC62">
        <f>4*4</f>
        <v>16</v>
      </c>
      <c r="AD62">
        <f>$AB$4</f>
        <v>2088960</v>
      </c>
    </row>
    <row r="63" spans="1:30">
      <c r="B63" s="44"/>
      <c r="C63" s="44" t="s">
        <v>80</v>
      </c>
      <c r="D63">
        <f>D67</f>
        <v>16</v>
      </c>
      <c r="E63">
        <f>E67</f>
        <v>16</v>
      </c>
      <c r="F63">
        <f>F67</f>
        <v>1</v>
      </c>
      <c r="G63" s="17">
        <f t="shared" si="36"/>
        <v>0</v>
      </c>
      <c r="H63" s="3">
        <f t="shared" si="36"/>
        <v>512</v>
      </c>
      <c r="I63" s="3">
        <f t="shared" si="36"/>
        <v>0</v>
      </c>
      <c r="J63" s="3"/>
      <c r="K63" s="3">
        <f t="shared" si="37"/>
        <v>0</v>
      </c>
      <c r="L63" s="3">
        <f t="shared" si="37"/>
        <v>0</v>
      </c>
      <c r="M63" s="3">
        <f t="shared" si="37"/>
        <v>0</v>
      </c>
      <c r="N63" s="20">
        <f t="shared" si="37"/>
        <v>0</v>
      </c>
      <c r="P63" s="58"/>
      <c r="S63">
        <v>0</v>
      </c>
      <c r="T63">
        <v>2</v>
      </c>
      <c r="U63">
        <v>0</v>
      </c>
      <c r="W63">
        <v>0</v>
      </c>
      <c r="X63">
        <v>0</v>
      </c>
      <c r="Y63">
        <v>0</v>
      </c>
    </row>
    <row r="64" spans="1:30">
      <c r="B64" s="44" t="s">
        <v>61</v>
      </c>
      <c r="C64" s="44" t="s">
        <v>79</v>
      </c>
      <c r="D64">
        <f>D67</f>
        <v>16</v>
      </c>
      <c r="E64">
        <f t="shared" ref="E64:F64" si="38">E67</f>
        <v>16</v>
      </c>
      <c r="F64">
        <f t="shared" si="38"/>
        <v>1</v>
      </c>
      <c r="G64" s="17">
        <f t="shared" si="36"/>
        <v>0</v>
      </c>
      <c r="H64" s="3">
        <f t="shared" si="36"/>
        <v>512</v>
      </c>
      <c r="I64" s="3">
        <f t="shared" si="36"/>
        <v>0</v>
      </c>
      <c r="J64" s="3"/>
      <c r="K64" s="3">
        <f t="shared" si="37"/>
        <v>0</v>
      </c>
      <c r="L64" s="3">
        <f t="shared" si="37"/>
        <v>256</v>
      </c>
      <c r="M64" s="3">
        <f t="shared" si="37"/>
        <v>0</v>
      </c>
      <c r="N64" s="20">
        <f t="shared" si="37"/>
        <v>0</v>
      </c>
      <c r="P64" s="58"/>
      <c r="S64">
        <v>0</v>
      </c>
      <c r="T64">
        <v>2</v>
      </c>
      <c r="U64">
        <v>0</v>
      </c>
      <c r="W64">
        <v>0</v>
      </c>
      <c r="X64">
        <v>1</v>
      </c>
      <c r="Y64">
        <v>0</v>
      </c>
    </row>
    <row r="65" spans="2:16">
      <c r="B65" t="s">
        <v>34</v>
      </c>
      <c r="G65" s="17"/>
      <c r="N65" s="20"/>
      <c r="P65" s="58"/>
    </row>
    <row r="66" spans="2:16" ht="16.5" thickBot="1">
      <c r="B66" t="s">
        <v>34</v>
      </c>
      <c r="G66" s="17"/>
      <c r="N66" s="20"/>
      <c r="P66" s="58"/>
    </row>
    <row r="67" spans="2:16" ht="16.5" thickBot="1">
      <c r="B67" s="66" t="s">
        <v>60</v>
      </c>
      <c r="C67" s="75" t="s">
        <v>82</v>
      </c>
      <c r="D67" s="43">
        <v>16</v>
      </c>
      <c r="E67" s="43">
        <v>16</v>
      </c>
      <c r="F67" s="43">
        <v>1</v>
      </c>
      <c r="G67" s="47">
        <f t="shared" ref="G67:I67" si="39">SUM(G61:G66) / ($D67*$E67)</f>
        <v>0</v>
      </c>
      <c r="H67" s="46">
        <f t="shared" si="39"/>
        <v>6.125</v>
      </c>
      <c r="I67" s="46">
        <f t="shared" si="39"/>
        <v>2.125</v>
      </c>
      <c r="J67" s="46"/>
      <c r="K67" s="46">
        <f t="shared" ref="K67" si="40">SUM(K61:K66) / ($D67*$E67)</f>
        <v>1.0625</v>
      </c>
      <c r="L67" s="46">
        <f t="shared" ref="L67" si="41">SUM(L61:L66) / ($D67*$E67)</f>
        <v>1</v>
      </c>
      <c r="M67" s="46">
        <f t="shared" ref="M67" si="42">SUM(M61:M66) / ($D67*$E67)</f>
        <v>0</v>
      </c>
      <c r="N67" s="46">
        <f>SUM(N61:N66) / ($D67*$E67)</f>
        <v>0</v>
      </c>
      <c r="O67" s="47">
        <f t="shared" ref="O67:P67" si="43">SUM(O61:O66) / ($D67*$E67)</f>
        <v>2.2578125</v>
      </c>
      <c r="P67" s="48">
        <f t="shared" si="43"/>
        <v>4.2578125</v>
      </c>
    </row>
  </sheetData>
  <phoneticPr fontId="14"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activeCell="H32" sqref="H32"/>
    </sheetView>
  </sheetViews>
  <sheetFormatPr defaultRowHeight="17.25"/>
  <cols>
    <col min="1" max="1" width="14" style="119" customWidth="1"/>
    <col min="2" max="3" width="9.140625" style="119"/>
    <col min="4" max="4" width="10" style="119" customWidth="1"/>
    <col min="5" max="8" width="9.140625" style="119"/>
    <col min="9" max="9" width="11" style="119" bestFit="1" customWidth="1"/>
    <col min="10" max="11" width="9.140625" style="119"/>
    <col min="12" max="13" width="12" style="119" bestFit="1" customWidth="1"/>
    <col min="14" max="20" width="9.140625" style="119"/>
    <col min="21" max="21" width="10.28515625" style="119" customWidth="1"/>
    <col min="22" max="16384" width="9.140625" style="119"/>
  </cols>
  <sheetData>
    <row r="1" spans="1:10">
      <c r="A1" s="119" t="s">
        <v>107</v>
      </c>
      <c r="B1" s="119" t="s">
        <v>108</v>
      </c>
    </row>
    <row r="2" spans="1:10">
      <c r="A2" s="119" t="s">
        <v>109</v>
      </c>
      <c r="B2" s="119">
        <v>8</v>
      </c>
    </row>
    <row r="4" spans="1:10">
      <c r="A4" s="152"/>
      <c r="B4" s="152" t="s">
        <v>226</v>
      </c>
      <c r="C4" s="152" t="s">
        <v>227</v>
      </c>
      <c r="D4" s="152" t="s">
        <v>228</v>
      </c>
      <c r="E4" s="152" t="s">
        <v>229</v>
      </c>
      <c r="F4" s="152" t="s">
        <v>230</v>
      </c>
      <c r="G4" s="152" t="s">
        <v>231</v>
      </c>
    </row>
    <row r="5" spans="1:10">
      <c r="A5" s="152" t="s">
        <v>136</v>
      </c>
      <c r="B5" s="158">
        <v>16</v>
      </c>
      <c r="C5" s="158">
        <v>16</v>
      </c>
      <c r="D5" s="158">
        <f t="shared" ref="D5:E7" si="0">B5</f>
        <v>16</v>
      </c>
      <c r="E5" s="158">
        <f t="shared" si="0"/>
        <v>16</v>
      </c>
      <c r="F5" s="158">
        <f>2*C5</f>
        <v>32</v>
      </c>
      <c r="G5" s="159">
        <f>(16/B5)*(16/C5)</f>
        <v>1</v>
      </c>
    </row>
    <row r="6" spans="1:10">
      <c r="A6" s="152" t="s">
        <v>137</v>
      </c>
      <c r="B6" s="158">
        <v>8</v>
      </c>
      <c r="C6" s="158">
        <v>8</v>
      </c>
      <c r="D6" s="158">
        <f t="shared" si="0"/>
        <v>8</v>
      </c>
      <c r="E6" s="158">
        <f t="shared" si="0"/>
        <v>8</v>
      </c>
      <c r="F6" s="158">
        <f>2*C6</f>
        <v>16</v>
      </c>
      <c r="G6" s="159">
        <f>(16/B6)*(16/C6)</f>
        <v>4</v>
      </c>
    </row>
    <row r="7" spans="1:10">
      <c r="A7" s="152" t="s">
        <v>138</v>
      </c>
      <c r="B7" s="158">
        <v>4</v>
      </c>
      <c r="C7" s="158">
        <v>4</v>
      </c>
      <c r="D7" s="158">
        <f t="shared" si="0"/>
        <v>4</v>
      </c>
      <c r="E7" s="158">
        <f t="shared" si="0"/>
        <v>4</v>
      </c>
      <c r="F7" s="158">
        <f>2*C7</f>
        <v>8</v>
      </c>
      <c r="G7" s="159">
        <f>(16/B7)*(16/C7)</f>
        <v>16</v>
      </c>
    </row>
    <row r="9" spans="1:10">
      <c r="A9" s="117" t="s">
        <v>129</v>
      </c>
      <c r="G9" s="160"/>
    </row>
    <row r="10" spans="1:10">
      <c r="A10" s="152"/>
      <c r="B10" s="152" t="s">
        <v>139</v>
      </c>
      <c r="C10" s="152"/>
      <c r="D10" s="152"/>
      <c r="E10" s="152" t="s">
        <v>140</v>
      </c>
      <c r="F10" s="152" t="s">
        <v>141</v>
      </c>
      <c r="G10" s="152" t="s">
        <v>131</v>
      </c>
      <c r="H10" s="152"/>
      <c r="I10" s="152"/>
    </row>
    <row r="11" spans="1:10">
      <c r="A11" s="152"/>
      <c r="B11" s="152" t="s">
        <v>142</v>
      </c>
      <c r="C11" s="152" t="s">
        <v>143</v>
      </c>
      <c r="D11" s="152" t="s">
        <v>144</v>
      </c>
      <c r="E11" s="152" t="s">
        <v>145</v>
      </c>
      <c r="F11" s="152" t="s">
        <v>146</v>
      </c>
      <c r="G11" s="152" t="s">
        <v>147</v>
      </c>
      <c r="H11" s="152" t="s">
        <v>148</v>
      </c>
      <c r="I11" s="152" t="s">
        <v>143</v>
      </c>
    </row>
    <row r="12" spans="1:10">
      <c r="A12" s="152" t="s">
        <v>149</v>
      </c>
      <c r="B12" s="158">
        <f>(((D5-1)+(E5-1)+1+1)+((D5-1)+(E5-1)+(D5-1)+(E5-1)))*G5</f>
        <v>92</v>
      </c>
      <c r="C12" s="158">
        <f>2*G5</f>
        <v>2</v>
      </c>
      <c r="D12" s="158">
        <f>(1+1)*G5</f>
        <v>2</v>
      </c>
      <c r="E12" s="158">
        <f>(D5+1)*G5</f>
        <v>17</v>
      </c>
      <c r="F12" s="158">
        <f>((2*B5+B5)+(B5*C5)+B5)*G5</f>
        <v>320</v>
      </c>
      <c r="G12" s="158">
        <f>D12</f>
        <v>2</v>
      </c>
      <c r="H12" s="158">
        <f>B12+E12+F12</f>
        <v>429</v>
      </c>
      <c r="I12" s="158">
        <f>C12</f>
        <v>2</v>
      </c>
    </row>
    <row r="13" spans="1:10">
      <c r="A13" s="152" t="s">
        <v>137</v>
      </c>
      <c r="B13" s="158">
        <f>(((D6-1)+(E6-1)+1)+((D6-1)+(E6-1)+(D6-1)+(E6-1))+1)*G6</f>
        <v>176</v>
      </c>
      <c r="C13" s="158">
        <f>2*G6</f>
        <v>8</v>
      </c>
      <c r="D13" s="158">
        <f>(1+1)*G6</f>
        <v>8</v>
      </c>
      <c r="E13" s="158">
        <f>(D6+1)*G6</f>
        <v>36</v>
      </c>
      <c r="F13" s="158">
        <f>((2*B6+B6)+(B6*C6)+B6)*G6</f>
        <v>384</v>
      </c>
      <c r="G13" s="158">
        <f>D13</f>
        <v>8</v>
      </c>
      <c r="H13" s="158">
        <f>B13+E13+F13</f>
        <v>596</v>
      </c>
      <c r="I13" s="158">
        <f>C13</f>
        <v>8</v>
      </c>
    </row>
    <row r="14" spans="1:10">
      <c r="A14" s="152" t="s">
        <v>150</v>
      </c>
      <c r="B14" s="158">
        <f>(((D7-1)+(E7-1)+1)+((D7-1)+(E7-1)+(D7-1)+(E7-1))+1)*G7</f>
        <v>320</v>
      </c>
      <c r="C14" s="158">
        <f>2*G7</f>
        <v>32</v>
      </c>
      <c r="D14" s="158">
        <f>(1+1)*G7</f>
        <v>32</v>
      </c>
      <c r="E14" s="158">
        <f>(D7+1)*G7</f>
        <v>80</v>
      </c>
      <c r="F14" s="158">
        <f>((2*B7+B7)+(B7*C7)+B7)*G7</f>
        <v>512</v>
      </c>
      <c r="G14" s="158">
        <f>D14</f>
        <v>32</v>
      </c>
      <c r="H14" s="158">
        <f>B14+E14+F14</f>
        <v>912</v>
      </c>
      <c r="I14" s="158">
        <f>C14</f>
        <v>32</v>
      </c>
    </row>
    <row r="15" spans="1:10">
      <c r="J15" s="120"/>
    </row>
    <row r="16" spans="1:10">
      <c r="A16" s="119" t="s">
        <v>151</v>
      </c>
      <c r="F16" s="160"/>
    </row>
    <row r="17" spans="1:6">
      <c r="A17" s="152"/>
      <c r="B17" s="152" t="s">
        <v>152</v>
      </c>
      <c r="C17" s="152" t="s">
        <v>153</v>
      </c>
      <c r="D17" s="152" t="s">
        <v>154</v>
      </c>
      <c r="E17" s="152" t="s">
        <v>155</v>
      </c>
      <c r="F17" s="152" t="s">
        <v>156</v>
      </c>
    </row>
    <row r="18" spans="1:6">
      <c r="A18" s="152" t="s">
        <v>232</v>
      </c>
      <c r="B18" s="158">
        <f>(D5+E5)*B2</f>
        <v>256</v>
      </c>
      <c r="C18" s="159">
        <f>(B5*LOG10(F5)/LOG10(2))</f>
        <v>80</v>
      </c>
      <c r="D18" s="158">
        <f>F5*B5</f>
        <v>512</v>
      </c>
      <c r="E18" s="158">
        <f>(B5*C5)*G5*B2</f>
        <v>2048</v>
      </c>
      <c r="F18" s="158">
        <f>SUM(B18:E18)</f>
        <v>2896</v>
      </c>
    </row>
    <row r="19" spans="1:6">
      <c r="A19" s="152" t="s">
        <v>233</v>
      </c>
      <c r="B19" s="158">
        <f>(D6+E6)*B2</f>
        <v>128</v>
      </c>
      <c r="C19" s="159">
        <f>(B6*LOG10(F6)/LOG10(2))</f>
        <v>32</v>
      </c>
      <c r="D19" s="158">
        <f>F6*B6</f>
        <v>128</v>
      </c>
      <c r="E19" s="158">
        <f>(B6*C6)*G6*B2</f>
        <v>2048</v>
      </c>
      <c r="F19" s="158">
        <f>SUM(B19:E19)</f>
        <v>2336</v>
      </c>
    </row>
    <row r="20" spans="1:6">
      <c r="A20" s="152" t="s">
        <v>234</v>
      </c>
      <c r="B20" s="158">
        <f>(D7+E7)*B2</f>
        <v>64</v>
      </c>
      <c r="C20" s="159">
        <f>(B7*LOG10(F7)/LOG10(2))</f>
        <v>12</v>
      </c>
      <c r="D20" s="158">
        <f>F7*B7</f>
        <v>32</v>
      </c>
      <c r="E20" s="158">
        <f>(B7*C7)*G7*B2</f>
        <v>2048</v>
      </c>
      <c r="F20" s="158">
        <f>SUM(B20:E20)</f>
        <v>2156</v>
      </c>
    </row>
    <row r="22" spans="1:6">
      <c r="A22" s="118" t="s">
        <v>135</v>
      </c>
      <c r="B22" s="120"/>
      <c r="D22" s="117"/>
      <c r="E22" s="160"/>
    </row>
    <row r="23" spans="1:6">
      <c r="A23" s="152" t="s">
        <v>235</v>
      </c>
      <c r="B23" s="152" t="s">
        <v>236</v>
      </c>
      <c r="C23" s="152" t="s">
        <v>158</v>
      </c>
      <c r="D23" s="152" t="s">
        <v>237</v>
      </c>
      <c r="E23" s="152" t="s">
        <v>157</v>
      </c>
    </row>
    <row r="24" spans="1:6">
      <c r="A24" s="152" t="s">
        <v>232</v>
      </c>
      <c r="B24" s="158">
        <f>((D5+E5)*G5*B2)</f>
        <v>256</v>
      </c>
      <c r="C24" s="158">
        <f>(B5*LOG10(F5)/LOG10(2)*G5)</f>
        <v>80</v>
      </c>
      <c r="D24" s="158">
        <f>((B5*C5)*G5*B2)</f>
        <v>2048</v>
      </c>
      <c r="E24" s="158">
        <f>SUM(B24:D24)</f>
        <v>2384</v>
      </c>
    </row>
    <row r="25" spans="1:6">
      <c r="A25" s="152" t="s">
        <v>233</v>
      </c>
      <c r="B25" s="158">
        <f>((D6+E6)*G6*B2)</f>
        <v>512</v>
      </c>
      <c r="C25" s="158">
        <f>(B6*LOG10(F6)/LOG10(2)*G6)</f>
        <v>128</v>
      </c>
      <c r="D25" s="158">
        <f>((B6*C6)*G6*B2)</f>
        <v>2048</v>
      </c>
      <c r="E25" s="158">
        <f>SUM(B25:D25)</f>
        <v>2688</v>
      </c>
    </row>
    <row r="26" spans="1:6">
      <c r="A26" s="152" t="s">
        <v>234</v>
      </c>
      <c r="B26" s="158">
        <f>((D7+E7)*G7*B2)</f>
        <v>1024</v>
      </c>
      <c r="C26" s="158">
        <f>(B7*LOG10(F7)/LOG10(2)*G7)</f>
        <v>192</v>
      </c>
      <c r="D26" s="158">
        <f>((B7*C7)*G7*B2)</f>
        <v>2048</v>
      </c>
      <c r="E26" s="158">
        <f>SUM(B26:D26)</f>
        <v>3264</v>
      </c>
    </row>
  </sheetData>
  <phoneticPr fontId="1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70" zoomScaleNormal="70" workbookViewId="0">
      <selection activeCell="I23" sqref="I23"/>
    </sheetView>
  </sheetViews>
  <sheetFormatPr defaultRowHeight="15"/>
  <cols>
    <col min="1" max="1" width="20.140625" style="117" customWidth="1"/>
    <col min="2" max="2" width="9.85546875" style="117" customWidth="1"/>
    <col min="3" max="3" width="11.140625" style="117" customWidth="1"/>
    <col min="4" max="4" width="10.140625" style="117" customWidth="1"/>
    <col min="5" max="8" width="9.140625" style="117"/>
    <col min="9" max="9" width="12" style="117" bestFit="1" customWidth="1"/>
    <col min="10" max="10" width="10.85546875" style="117" bestFit="1" customWidth="1"/>
    <col min="11" max="11" width="12.140625" style="117" customWidth="1"/>
    <col min="12" max="12" width="9.140625" style="117"/>
    <col min="13" max="13" width="10.7109375" style="117" customWidth="1"/>
    <col min="14" max="14" width="9.140625" style="117"/>
    <col min="15" max="15" width="10.28515625" style="117" customWidth="1"/>
    <col min="16" max="16384" width="9.140625" style="117"/>
  </cols>
  <sheetData>
    <row r="1" spans="1:17">
      <c r="A1" s="117" t="s">
        <v>107</v>
      </c>
      <c r="B1" s="117" t="s">
        <v>108</v>
      </c>
    </row>
    <row r="2" spans="1:17">
      <c r="A2" s="117" t="s">
        <v>109</v>
      </c>
      <c r="B2" s="117">
        <v>8</v>
      </c>
    </row>
    <row r="3" spans="1:17">
      <c r="A3" s="117" t="s">
        <v>110</v>
      </c>
      <c r="B3" s="117">
        <v>2</v>
      </c>
    </row>
    <row r="4" spans="1:17">
      <c r="A4" s="117" t="s">
        <v>111</v>
      </c>
      <c r="B4" s="117">
        <v>3</v>
      </c>
    </row>
    <row r="5" spans="1:17">
      <c r="A5" s="117" t="s">
        <v>112</v>
      </c>
      <c r="B5" s="117">
        <v>16</v>
      </c>
    </row>
    <row r="6" spans="1:17">
      <c r="A6" s="117" t="s">
        <v>113</v>
      </c>
      <c r="B6" s="117">
        <v>16</v>
      </c>
    </row>
    <row r="8" spans="1:17">
      <c r="A8" s="152"/>
      <c r="B8" s="152" t="s">
        <v>114</v>
      </c>
      <c r="C8" s="152" t="s">
        <v>115</v>
      </c>
      <c r="D8" s="152" t="s">
        <v>116</v>
      </c>
      <c r="E8" s="152" t="s">
        <v>117</v>
      </c>
      <c r="F8" s="152" t="s">
        <v>118</v>
      </c>
      <c r="G8" s="152" t="s">
        <v>119</v>
      </c>
      <c r="H8" s="152" t="s">
        <v>120</v>
      </c>
      <c r="I8" s="152" t="s">
        <v>121</v>
      </c>
      <c r="J8" s="152" t="s">
        <v>122</v>
      </c>
      <c r="K8" s="152" t="s">
        <v>123</v>
      </c>
      <c r="L8" s="152" t="s">
        <v>124</v>
      </c>
    </row>
    <row r="9" spans="1:17">
      <c r="A9" s="152" t="s">
        <v>125</v>
      </c>
      <c r="B9" s="164">
        <v>1</v>
      </c>
      <c r="C9" s="164">
        <v>16</v>
      </c>
      <c r="D9" s="164">
        <v>16</v>
      </c>
      <c r="E9" s="164">
        <v>1</v>
      </c>
      <c r="F9" s="164">
        <v>1</v>
      </c>
      <c r="G9" s="164">
        <v>16</v>
      </c>
      <c r="H9" s="164">
        <v>16</v>
      </c>
      <c r="I9" s="164">
        <v>1</v>
      </c>
      <c r="J9" s="164">
        <v>16</v>
      </c>
      <c r="K9" s="164">
        <v>16</v>
      </c>
      <c r="L9" s="165">
        <f t="shared" ref="L9:L12" si="0">(16/J9)*(16/K9)</f>
        <v>1</v>
      </c>
    </row>
    <row r="10" spans="1:17">
      <c r="A10" s="152" t="s">
        <v>126</v>
      </c>
      <c r="B10" s="164">
        <v>1</v>
      </c>
      <c r="C10" s="164">
        <v>8</v>
      </c>
      <c r="D10" s="164">
        <v>16</v>
      </c>
      <c r="E10" s="164">
        <v>1</v>
      </c>
      <c r="F10" s="164">
        <v>1</v>
      </c>
      <c r="G10" s="164">
        <v>8</v>
      </c>
      <c r="H10" s="164">
        <v>16</v>
      </c>
      <c r="I10" s="164">
        <v>1</v>
      </c>
      <c r="J10" s="164">
        <v>16</v>
      </c>
      <c r="K10" s="164">
        <v>8</v>
      </c>
      <c r="L10" s="165">
        <f t="shared" si="0"/>
        <v>2</v>
      </c>
    </row>
    <row r="11" spans="1:17">
      <c r="A11" s="152" t="s">
        <v>127</v>
      </c>
      <c r="B11" s="164">
        <v>1</v>
      </c>
      <c r="C11" s="164">
        <v>16</v>
      </c>
      <c r="D11" s="164">
        <v>8</v>
      </c>
      <c r="E11" s="164">
        <v>1</v>
      </c>
      <c r="F11" s="164">
        <v>1</v>
      </c>
      <c r="G11" s="164">
        <v>16</v>
      </c>
      <c r="H11" s="164">
        <v>8</v>
      </c>
      <c r="I11" s="164">
        <v>1</v>
      </c>
      <c r="J11" s="164">
        <v>8</v>
      </c>
      <c r="K11" s="164">
        <v>16</v>
      </c>
      <c r="L11" s="165">
        <f t="shared" si="0"/>
        <v>2</v>
      </c>
    </row>
    <row r="12" spans="1:17">
      <c r="A12" s="152" t="s">
        <v>128</v>
      </c>
      <c r="B12" s="164">
        <v>1</v>
      </c>
      <c r="C12" s="164">
        <v>16</v>
      </c>
      <c r="D12" s="164">
        <v>16</v>
      </c>
      <c r="E12" s="164">
        <v>1</v>
      </c>
      <c r="F12" s="164">
        <v>1</v>
      </c>
      <c r="G12" s="164">
        <v>16</v>
      </c>
      <c r="H12" s="164">
        <v>16</v>
      </c>
      <c r="I12" s="164">
        <v>1</v>
      </c>
      <c r="J12" s="164">
        <v>16</v>
      </c>
      <c r="K12" s="164">
        <v>16</v>
      </c>
      <c r="L12" s="165">
        <f t="shared" si="0"/>
        <v>1</v>
      </c>
    </row>
    <row r="14" spans="1:17">
      <c r="A14" s="117" t="s">
        <v>129</v>
      </c>
      <c r="M14" s="163"/>
    </row>
    <row r="15" spans="1:17">
      <c r="A15" s="152" t="s">
        <v>130</v>
      </c>
      <c r="B15" s="152" t="s">
        <v>244</v>
      </c>
      <c r="C15" s="352" t="s">
        <v>245</v>
      </c>
      <c r="D15" s="353"/>
      <c r="E15" s="353"/>
      <c r="F15" s="354"/>
      <c r="G15" s="352" t="s">
        <v>246</v>
      </c>
      <c r="H15" s="353"/>
      <c r="I15" s="354"/>
      <c r="J15" s="152" t="s">
        <v>247</v>
      </c>
      <c r="K15" s="152"/>
      <c r="L15" s="166"/>
      <c r="M15" s="152" t="s">
        <v>243</v>
      </c>
      <c r="N15" s="167"/>
      <c r="O15" s="152"/>
      <c r="P15" s="152"/>
      <c r="Q15" s="152"/>
    </row>
    <row r="16" spans="1:17">
      <c r="A16" s="152"/>
      <c r="B16" s="152" t="s">
        <v>248</v>
      </c>
      <c r="C16" s="152" t="s">
        <v>249</v>
      </c>
      <c r="D16" s="152" t="s">
        <v>250</v>
      </c>
      <c r="E16" s="152" t="s">
        <v>251</v>
      </c>
      <c r="F16" s="152" t="s">
        <v>252</v>
      </c>
      <c r="G16" s="152" t="s">
        <v>253</v>
      </c>
      <c r="H16" s="152" t="s">
        <v>248</v>
      </c>
      <c r="I16" s="152" t="s">
        <v>252</v>
      </c>
      <c r="J16" s="152" t="s">
        <v>251</v>
      </c>
      <c r="K16" s="152" t="s">
        <v>248</v>
      </c>
      <c r="L16" s="166" t="s">
        <v>252</v>
      </c>
      <c r="M16" s="152" t="s">
        <v>250</v>
      </c>
      <c r="N16" s="167" t="s">
        <v>251</v>
      </c>
      <c r="O16" s="152" t="s">
        <v>253</v>
      </c>
      <c r="P16" s="152" t="s">
        <v>249</v>
      </c>
      <c r="Q16" s="152" t="s">
        <v>252</v>
      </c>
    </row>
    <row r="17" spans="1:17">
      <c r="A17" s="152" t="s">
        <v>125</v>
      </c>
      <c r="B17" s="164">
        <f>L9</f>
        <v>1</v>
      </c>
      <c r="C17" s="164">
        <f>((2+(B9*C9+D9*E9+F9*G9+H9*I9)+2+(B9*C9+D9*E9+F9*G9+H9*I9)+1)+((B9*C9+D9*E9+F9*G9+H9*I9)+(B9*C9+D9*E9+F9*G9+H9*I9))+((B9*C9+D9*E9+F9*G9+H9*I9)+(B9*C9+D9*E9+F9*G9+H9*I9)+1))*L9</f>
        <v>390</v>
      </c>
      <c r="D17" s="164">
        <f>1*L9</f>
        <v>1</v>
      </c>
      <c r="E17" s="164">
        <f>1*L9</f>
        <v>1</v>
      </c>
      <c r="F17" s="164">
        <f>(2+1+1)*L9</f>
        <v>4</v>
      </c>
      <c r="G17" s="164">
        <f>8*(J9)*(K9)*L9</f>
        <v>2048</v>
      </c>
      <c r="H17" s="164">
        <f>(14)*(J9)*(K9)*L9</f>
        <v>3584</v>
      </c>
      <c r="I17" s="164">
        <f>(2)*(J9)*(K9)*L9</f>
        <v>512</v>
      </c>
      <c r="J17" s="164">
        <f>1*L9*J9*K9</f>
        <v>256</v>
      </c>
      <c r="K17" s="164">
        <f>1*J9*K9*L9</f>
        <v>256</v>
      </c>
      <c r="L17" s="164">
        <f>1*J9*K9*L9</f>
        <v>256</v>
      </c>
      <c r="M17" s="164">
        <f>D17</f>
        <v>1</v>
      </c>
      <c r="N17" s="164">
        <f>E17+J17</f>
        <v>257</v>
      </c>
      <c r="O17" s="164">
        <f>G17</f>
        <v>2048</v>
      </c>
      <c r="P17" s="164">
        <f>B17+C17+H17+K17</f>
        <v>4231</v>
      </c>
      <c r="Q17" s="164">
        <f>F17+I17+L17</f>
        <v>772</v>
      </c>
    </row>
    <row r="18" spans="1:17">
      <c r="A18" s="152" t="s">
        <v>126</v>
      </c>
      <c r="B18" s="164">
        <f>L10</f>
        <v>2</v>
      </c>
      <c r="C18" s="164">
        <f>((2+(B10*C10+D10*E10+F10*G10+H10*I10)+2+(B10*C10+D10*E10+F10*G10+H10*I10)+1)+((B10*C10+D10*E10+F10*G10+H10*I10)+(B10*C10+D10*E10+F10*G10+H10*I10))+((B10*C10+D10*E10+F10*G10+H10*I10)+(B10*C10+D10*E10+F10*G10+H10*I10)+1))*L10</f>
        <v>588</v>
      </c>
      <c r="D18" s="164">
        <f>1*L10</f>
        <v>2</v>
      </c>
      <c r="E18" s="164">
        <f>1*L10</f>
        <v>2</v>
      </c>
      <c r="F18" s="164">
        <f>(2+1+1)*L10</f>
        <v>8</v>
      </c>
      <c r="G18" s="164">
        <f>8*(J10)*(K10)*L10</f>
        <v>2048</v>
      </c>
      <c r="H18" s="164">
        <f>(14)*(J10)*(K10)*L10</f>
        <v>3584</v>
      </c>
      <c r="I18" s="164">
        <f>(2)*(J10)*(K10)*L10</f>
        <v>512</v>
      </c>
      <c r="J18" s="164">
        <f>1*L10*J10*K10</f>
        <v>256</v>
      </c>
      <c r="K18" s="164">
        <f>1*J10*K10*L10</f>
        <v>256</v>
      </c>
      <c r="L18" s="164">
        <f>1*J10*K10*L10</f>
        <v>256</v>
      </c>
      <c r="M18" s="164">
        <f>D18</f>
        <v>2</v>
      </c>
      <c r="N18" s="164">
        <f>E18+J18</f>
        <v>258</v>
      </c>
      <c r="O18" s="164">
        <f>G18</f>
        <v>2048</v>
      </c>
      <c r="P18" s="164">
        <f>B18+C18+H18+K18</f>
        <v>4430</v>
      </c>
      <c r="Q18" s="164">
        <f>F18+I18+L18</f>
        <v>776</v>
      </c>
    </row>
    <row r="19" spans="1:17">
      <c r="A19" s="152" t="s">
        <v>127</v>
      </c>
      <c r="B19" s="164">
        <f>L11</f>
        <v>2</v>
      </c>
      <c r="C19" s="164">
        <f>((2+(B11*C11+D11*E11+F11*G11+H11*I11)+2+(B11*C11+D11*E11+F11*G11+H11*I11)+1)+((B11*C11+D11*E11+F11*G11+H11*I11)+(B11*C11+D11*E11+F11*G11+H11*I11))+((B11*C11+D11*E11+F11*G11+H11*I11)+(B11*C11+D11*E11+F11*G11+H11*I11)+1))*L11</f>
        <v>588</v>
      </c>
      <c r="D19" s="164">
        <f>1*L11</f>
        <v>2</v>
      </c>
      <c r="E19" s="164">
        <f>1*L11</f>
        <v>2</v>
      </c>
      <c r="F19" s="164">
        <f>(2+1+1)*L11</f>
        <v>8</v>
      </c>
      <c r="G19" s="164">
        <f>8*(J11)*(K11)*L11</f>
        <v>2048</v>
      </c>
      <c r="H19" s="164">
        <f>(14)*(J11)*(K11)*L11</f>
        <v>3584</v>
      </c>
      <c r="I19" s="164">
        <f>(2)*(J11)*(K11)*L11</f>
        <v>512</v>
      </c>
      <c r="J19" s="164">
        <f>1*L11*J11*K11</f>
        <v>256</v>
      </c>
      <c r="K19" s="164">
        <f>1*J11*K11*L11</f>
        <v>256</v>
      </c>
      <c r="L19" s="164">
        <f>1*J11*K11*L11</f>
        <v>256</v>
      </c>
      <c r="M19" s="164">
        <f>D19</f>
        <v>2</v>
      </c>
      <c r="N19" s="164">
        <f>E19+J19</f>
        <v>258</v>
      </c>
      <c r="O19" s="164">
        <f>G19</f>
        <v>2048</v>
      </c>
      <c r="P19" s="164">
        <f>B19+C19+H19+K19</f>
        <v>4430</v>
      </c>
      <c r="Q19" s="164">
        <f>F19+I19+L19</f>
        <v>776</v>
      </c>
    </row>
    <row r="20" spans="1:17">
      <c r="A20" s="152" t="s">
        <v>128</v>
      </c>
      <c r="B20" s="164">
        <f>L12</f>
        <v>1</v>
      </c>
      <c r="C20" s="164">
        <f>((2+(B12*C12+D12*E12+F12*G12+H12*I12)+2+(B12*C12+D12*E12+F12*G12+H12*I12)+1)+((B12*C12+D12*E12+F12*G12+H12*I12)+(B12*C12+D12*E12+F12*G12+H12*I12))+((B12*C12+D12*E12+F12*G12+H12*I12)+(B12*C12+D12*E12+F12*G12+H12*I12)+1))*L12</f>
        <v>390</v>
      </c>
      <c r="D20" s="164">
        <f>1*L12</f>
        <v>1</v>
      </c>
      <c r="E20" s="164">
        <f>1*L12</f>
        <v>1</v>
      </c>
      <c r="F20" s="164">
        <f>(2+1+1)*L12</f>
        <v>4</v>
      </c>
      <c r="G20" s="164">
        <f>8*(J12)*(K12)*L12</f>
        <v>2048</v>
      </c>
      <c r="H20" s="164">
        <f>(14)*(J12)*(K12)*L12</f>
        <v>3584</v>
      </c>
      <c r="I20" s="164">
        <f>(2)*(J12)*(K12)*L12</f>
        <v>512</v>
      </c>
      <c r="J20" s="164">
        <f>1*L12*J12*K12</f>
        <v>256</v>
      </c>
      <c r="K20" s="164">
        <f>1*J12*K12*L12</f>
        <v>256</v>
      </c>
      <c r="L20" s="164">
        <f>1*J12*K12*L12</f>
        <v>256</v>
      </c>
      <c r="M20" s="164">
        <f>D20</f>
        <v>1</v>
      </c>
      <c r="N20" s="164">
        <f>E20+J20</f>
        <v>257</v>
      </c>
      <c r="O20" s="164">
        <f>G20</f>
        <v>2048</v>
      </c>
      <c r="P20" s="164">
        <f>B20+C20+H20+K20</f>
        <v>4231</v>
      </c>
      <c r="Q20" s="164">
        <f>F20+I20+L20</f>
        <v>772</v>
      </c>
    </row>
    <row r="22" spans="1:17">
      <c r="A22" s="117" t="s">
        <v>132</v>
      </c>
      <c r="E22" s="161"/>
      <c r="F22" s="162"/>
    </row>
    <row r="23" spans="1:17">
      <c r="A23" s="152" t="s">
        <v>240</v>
      </c>
      <c r="B23" s="152" t="s">
        <v>241</v>
      </c>
      <c r="C23" s="152" t="s">
        <v>133</v>
      </c>
      <c r="D23" s="152" t="s">
        <v>242</v>
      </c>
      <c r="E23" s="152" t="s">
        <v>134</v>
      </c>
      <c r="F23" s="152" t="s">
        <v>243</v>
      </c>
    </row>
    <row r="24" spans="1:17">
      <c r="A24" s="152" t="s">
        <v>125</v>
      </c>
      <c r="B24" s="164">
        <f>(B6+B5)</f>
        <v>32</v>
      </c>
      <c r="C24" s="164">
        <f>((B9*C9+D9*E9+F9*G9+H9*I9))*B2</f>
        <v>512</v>
      </c>
      <c r="D24" s="164">
        <f>((B3+B4+J9)*(B3+B4+K9))*B2</f>
        <v>3528</v>
      </c>
      <c r="E24" s="164">
        <f>(J9*K9)*L9*B2</f>
        <v>2048</v>
      </c>
      <c r="F24" s="164">
        <f>SUM(B24:E24)</f>
        <v>6120</v>
      </c>
    </row>
    <row r="25" spans="1:17">
      <c r="A25" s="152" t="s">
        <v>126</v>
      </c>
      <c r="B25" s="164">
        <f>(B6+B5)</f>
        <v>32</v>
      </c>
      <c r="C25" s="164">
        <f>((B10*C10+D10*E10+F10*G10+H10*I10))*B2</f>
        <v>384</v>
      </c>
      <c r="D25" s="164">
        <f>((B3+B4+J10)*(B3+B4+K10))*B2</f>
        <v>2184</v>
      </c>
      <c r="E25" s="164">
        <f>(J10*K10)*L10*B2</f>
        <v>2048</v>
      </c>
      <c r="F25" s="164">
        <f>SUM(B25:E25)</f>
        <v>4648</v>
      </c>
    </row>
    <row r="26" spans="1:17">
      <c r="A26" s="152" t="s">
        <v>127</v>
      </c>
      <c r="B26" s="164">
        <f>(B6+B5)</f>
        <v>32</v>
      </c>
      <c r="C26" s="164">
        <f>((B11*C11+D11*E11+F11*G11+H11*I11))*B2</f>
        <v>384</v>
      </c>
      <c r="D26" s="164">
        <f>((B3+B4+J11)*(B3+B4+K11))*B2</f>
        <v>2184</v>
      </c>
      <c r="E26" s="164">
        <f>(J11*K11)*L11*B2</f>
        <v>2048</v>
      </c>
      <c r="F26" s="164">
        <f>SUM(B26:E26)</f>
        <v>4648</v>
      </c>
    </row>
    <row r="27" spans="1:17">
      <c r="A27" s="152" t="s">
        <v>128</v>
      </c>
      <c r="B27" s="164">
        <f>(B6+B5)</f>
        <v>32</v>
      </c>
      <c r="C27" s="164">
        <f>((B12*C12+D12*E12+F12*G12+H12*I12))*B2</f>
        <v>512</v>
      </c>
      <c r="D27" s="164">
        <f>((B3+B4+J12)*(B3+B4+K12))*B2</f>
        <v>3528</v>
      </c>
      <c r="E27" s="164">
        <f>(J12*K12)*L12*B2</f>
        <v>2048</v>
      </c>
      <c r="F27" s="164">
        <f>SUM(B27:E27)</f>
        <v>6120</v>
      </c>
    </row>
    <row r="29" spans="1:17">
      <c r="A29" s="117" t="s">
        <v>135</v>
      </c>
      <c r="B29" s="161"/>
      <c r="C29" s="161"/>
      <c r="D29" s="161"/>
      <c r="E29" s="161"/>
      <c r="F29" s="162"/>
      <c r="G29" s="161"/>
    </row>
    <row r="30" spans="1:17">
      <c r="A30" s="152" t="s">
        <v>235</v>
      </c>
      <c r="B30" s="152" t="s">
        <v>241</v>
      </c>
      <c r="C30" s="152" t="s">
        <v>133</v>
      </c>
      <c r="D30" s="152" t="s">
        <v>258</v>
      </c>
      <c r="E30" s="152" t="s">
        <v>134</v>
      </c>
      <c r="F30" s="152" t="s">
        <v>243</v>
      </c>
    </row>
    <row r="31" spans="1:17">
      <c r="A31" s="152" t="s">
        <v>254</v>
      </c>
      <c r="B31" s="164">
        <f>(B6+B5)*L9</f>
        <v>32</v>
      </c>
      <c r="C31" s="164">
        <f>((B9*C9+D9*E9+F9*G9+H9*I9))*L9*B2</f>
        <v>512</v>
      </c>
      <c r="D31" s="164">
        <f>((B3+B4+J9)*(B3+B4+K9))*L9*B2</f>
        <v>3528</v>
      </c>
      <c r="E31" s="164">
        <f>(J9*K9)*L9*B2</f>
        <v>2048</v>
      </c>
      <c r="F31" s="164">
        <f>SUM(C31:E31)</f>
        <v>6088</v>
      </c>
    </row>
    <row r="32" spans="1:17">
      <c r="A32" s="152" t="s">
        <v>255</v>
      </c>
      <c r="B32" s="164">
        <f>(B6+B5)*L10</f>
        <v>64</v>
      </c>
      <c r="C32" s="164">
        <f>((B10*C10+D10*E10+F10*G10+H10*I10))*L10*B2</f>
        <v>768</v>
      </c>
      <c r="D32" s="164">
        <f>((B3+B4+J10)*(B3+B4+K10))*L10*B2</f>
        <v>4368</v>
      </c>
      <c r="E32" s="164">
        <f>(J10*K10)*L10*B2</f>
        <v>2048</v>
      </c>
      <c r="F32" s="164">
        <f>SUM(C32:E32)</f>
        <v>7184</v>
      </c>
    </row>
    <row r="33" spans="1:6">
      <c r="A33" s="152" t="s">
        <v>256</v>
      </c>
      <c r="B33" s="164">
        <f>(B6+B5)*L11</f>
        <v>64</v>
      </c>
      <c r="C33" s="164">
        <f>((B11*C11+D11*E11+F11*G11+H11*I11))*L11*B2</f>
        <v>768</v>
      </c>
      <c r="D33" s="164">
        <f>((B3+B4+J11)*(B3+B4+K11))*L11*B2</f>
        <v>4368</v>
      </c>
      <c r="E33" s="164">
        <f>(J11*K11)*L11*B2</f>
        <v>2048</v>
      </c>
      <c r="F33" s="164">
        <f>SUM(C33:E33)</f>
        <v>7184</v>
      </c>
    </row>
    <row r="34" spans="1:6">
      <c r="A34" s="152" t="s">
        <v>257</v>
      </c>
      <c r="B34" s="164">
        <f>(B6+B5)*L12</f>
        <v>32</v>
      </c>
      <c r="C34" s="164">
        <f>((B12*C12+D12*E12+F12*G12+H12*I12))*L12*B2</f>
        <v>512</v>
      </c>
      <c r="D34" s="164">
        <f>((B3+B4+J12)*(B3+B4+K12))*L12*B2</f>
        <v>3528</v>
      </c>
      <c r="E34" s="164">
        <f>(J12*K12)*L12*B2</f>
        <v>2048</v>
      </c>
      <c r="F34" s="164">
        <f>SUM(C34:E34)</f>
        <v>6088</v>
      </c>
    </row>
  </sheetData>
  <mergeCells count="2">
    <mergeCell ref="G15:I15"/>
    <mergeCell ref="C15:F15"/>
  </mergeCells>
  <phoneticPr fontId="1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70" zoomScaleNormal="70" workbookViewId="0">
      <selection activeCell="V20" sqref="V20"/>
    </sheetView>
  </sheetViews>
  <sheetFormatPr defaultRowHeight="15"/>
  <cols>
    <col min="1" max="1" width="9.140625" style="150"/>
    <col min="2" max="2" width="11.5703125" style="150" bestFit="1" customWidth="1"/>
    <col min="3" max="3" width="12.7109375" style="150" bestFit="1" customWidth="1"/>
    <col min="4" max="4" width="11.42578125" style="150" bestFit="1" customWidth="1"/>
    <col min="5" max="5" width="12.7109375" style="150" bestFit="1" customWidth="1"/>
    <col min="6" max="257" width="9.140625" style="150"/>
    <col min="258" max="258" width="11.5703125" style="150" bestFit="1" customWidth="1"/>
    <col min="259" max="259" width="12.7109375" style="150" bestFit="1" customWidth="1"/>
    <col min="260" max="260" width="11.42578125" style="150" bestFit="1" customWidth="1"/>
    <col min="261" max="261" width="12.7109375" style="150" bestFit="1" customWidth="1"/>
    <col min="262" max="513" width="9.140625" style="150"/>
    <col min="514" max="514" width="11.5703125" style="150" bestFit="1" customWidth="1"/>
    <col min="515" max="515" width="12.7109375" style="150" bestFit="1" customWidth="1"/>
    <col min="516" max="516" width="11.42578125" style="150" bestFit="1" customWidth="1"/>
    <col min="517" max="517" width="12.7109375" style="150" bestFit="1" customWidth="1"/>
    <col min="518" max="769" width="9.140625" style="150"/>
    <col min="770" max="770" width="11.5703125" style="150" bestFit="1" customWidth="1"/>
    <col min="771" max="771" width="12.7109375" style="150" bestFit="1" customWidth="1"/>
    <col min="772" max="772" width="11.42578125" style="150" bestFit="1" customWidth="1"/>
    <col min="773" max="773" width="12.7109375" style="150" bestFit="1" customWidth="1"/>
    <col min="774" max="1025" width="9.140625" style="150"/>
    <col min="1026" max="1026" width="11.5703125" style="150" bestFit="1" customWidth="1"/>
    <col min="1027" max="1027" width="12.7109375" style="150" bestFit="1" customWidth="1"/>
    <col min="1028" max="1028" width="11.42578125" style="150" bestFit="1" customWidth="1"/>
    <col min="1029" max="1029" width="12.7109375" style="150" bestFit="1" customWidth="1"/>
    <col min="1030" max="1281" width="9.140625" style="150"/>
    <col min="1282" max="1282" width="11.5703125" style="150" bestFit="1" customWidth="1"/>
    <col min="1283" max="1283" width="12.7109375" style="150" bestFit="1" customWidth="1"/>
    <col min="1284" max="1284" width="11.42578125" style="150" bestFit="1" customWidth="1"/>
    <col min="1285" max="1285" width="12.7109375" style="150" bestFit="1" customWidth="1"/>
    <col min="1286" max="1537" width="9.140625" style="150"/>
    <col min="1538" max="1538" width="11.5703125" style="150" bestFit="1" customWidth="1"/>
    <col min="1539" max="1539" width="12.7109375" style="150" bestFit="1" customWidth="1"/>
    <col min="1540" max="1540" width="11.42578125" style="150" bestFit="1" customWidth="1"/>
    <col min="1541" max="1541" width="12.7109375" style="150" bestFit="1" customWidth="1"/>
    <col min="1542" max="1793" width="9.140625" style="150"/>
    <col min="1794" max="1794" width="11.5703125" style="150" bestFit="1" customWidth="1"/>
    <col min="1795" max="1795" width="12.7109375" style="150" bestFit="1" customWidth="1"/>
    <col min="1796" max="1796" width="11.42578125" style="150" bestFit="1" customWidth="1"/>
    <col min="1797" max="1797" width="12.7109375" style="150" bestFit="1" customWidth="1"/>
    <col min="1798" max="2049" width="9.140625" style="150"/>
    <col min="2050" max="2050" width="11.5703125" style="150" bestFit="1" customWidth="1"/>
    <col min="2051" max="2051" width="12.7109375" style="150" bestFit="1" customWidth="1"/>
    <col min="2052" max="2052" width="11.42578125" style="150" bestFit="1" customWidth="1"/>
    <col min="2053" max="2053" width="12.7109375" style="150" bestFit="1" customWidth="1"/>
    <col min="2054" max="2305" width="9.140625" style="150"/>
    <col min="2306" max="2306" width="11.5703125" style="150" bestFit="1" customWidth="1"/>
    <col min="2307" max="2307" width="12.7109375" style="150" bestFit="1" customWidth="1"/>
    <col min="2308" max="2308" width="11.42578125" style="150" bestFit="1" customWidth="1"/>
    <col min="2309" max="2309" width="12.7109375" style="150" bestFit="1" customWidth="1"/>
    <col min="2310" max="2561" width="9.140625" style="150"/>
    <col min="2562" max="2562" width="11.5703125" style="150" bestFit="1" customWidth="1"/>
    <col min="2563" max="2563" width="12.7109375" style="150" bestFit="1" customWidth="1"/>
    <col min="2564" max="2564" width="11.42578125" style="150" bestFit="1" customWidth="1"/>
    <col min="2565" max="2565" width="12.7109375" style="150" bestFit="1" customWidth="1"/>
    <col min="2566" max="2817" width="9.140625" style="150"/>
    <col min="2818" max="2818" width="11.5703125" style="150" bestFit="1" customWidth="1"/>
    <col min="2819" max="2819" width="12.7109375" style="150" bestFit="1" customWidth="1"/>
    <col min="2820" max="2820" width="11.42578125" style="150" bestFit="1" customWidth="1"/>
    <col min="2821" max="2821" width="12.7109375" style="150" bestFit="1" customWidth="1"/>
    <col min="2822" max="3073" width="9.140625" style="150"/>
    <col min="3074" max="3074" width="11.5703125" style="150" bestFit="1" customWidth="1"/>
    <col min="3075" max="3075" width="12.7109375" style="150" bestFit="1" customWidth="1"/>
    <col min="3076" max="3076" width="11.42578125" style="150" bestFit="1" customWidth="1"/>
    <col min="3077" max="3077" width="12.7109375" style="150" bestFit="1" customWidth="1"/>
    <col min="3078" max="3329" width="9.140625" style="150"/>
    <col min="3330" max="3330" width="11.5703125" style="150" bestFit="1" customWidth="1"/>
    <col min="3331" max="3331" width="12.7109375" style="150" bestFit="1" customWidth="1"/>
    <col min="3332" max="3332" width="11.42578125" style="150" bestFit="1" customWidth="1"/>
    <col min="3333" max="3333" width="12.7109375" style="150" bestFit="1" customWidth="1"/>
    <col min="3334" max="3585" width="9.140625" style="150"/>
    <col min="3586" max="3586" width="11.5703125" style="150" bestFit="1" customWidth="1"/>
    <col min="3587" max="3587" width="12.7109375" style="150" bestFit="1" customWidth="1"/>
    <col min="3588" max="3588" width="11.42578125" style="150" bestFit="1" customWidth="1"/>
    <col min="3589" max="3589" width="12.7109375" style="150" bestFit="1" customWidth="1"/>
    <col min="3590" max="3841" width="9.140625" style="150"/>
    <col min="3842" max="3842" width="11.5703125" style="150" bestFit="1" customWidth="1"/>
    <col min="3843" max="3843" width="12.7109375" style="150" bestFit="1" customWidth="1"/>
    <col min="3844" max="3844" width="11.42578125" style="150" bestFit="1" customWidth="1"/>
    <col min="3845" max="3845" width="12.7109375" style="150" bestFit="1" customWidth="1"/>
    <col min="3846" max="4097" width="9.140625" style="150"/>
    <col min="4098" max="4098" width="11.5703125" style="150" bestFit="1" customWidth="1"/>
    <col min="4099" max="4099" width="12.7109375" style="150" bestFit="1" customWidth="1"/>
    <col min="4100" max="4100" width="11.42578125" style="150" bestFit="1" customWidth="1"/>
    <col min="4101" max="4101" width="12.7109375" style="150" bestFit="1" customWidth="1"/>
    <col min="4102" max="4353" width="9.140625" style="150"/>
    <col min="4354" max="4354" width="11.5703125" style="150" bestFit="1" customWidth="1"/>
    <col min="4355" max="4355" width="12.7109375" style="150" bestFit="1" customWidth="1"/>
    <col min="4356" max="4356" width="11.42578125" style="150" bestFit="1" customWidth="1"/>
    <col min="4357" max="4357" width="12.7109375" style="150" bestFit="1" customWidth="1"/>
    <col min="4358" max="4609" width="9.140625" style="150"/>
    <col min="4610" max="4610" width="11.5703125" style="150" bestFit="1" customWidth="1"/>
    <col min="4611" max="4611" width="12.7109375" style="150" bestFit="1" customWidth="1"/>
    <col min="4612" max="4612" width="11.42578125" style="150" bestFit="1" customWidth="1"/>
    <col min="4613" max="4613" width="12.7109375" style="150" bestFit="1" customWidth="1"/>
    <col min="4614" max="4865" width="9.140625" style="150"/>
    <col min="4866" max="4866" width="11.5703125" style="150" bestFit="1" customWidth="1"/>
    <col min="4867" max="4867" width="12.7109375" style="150" bestFit="1" customWidth="1"/>
    <col min="4868" max="4868" width="11.42578125" style="150" bestFit="1" customWidth="1"/>
    <col min="4869" max="4869" width="12.7109375" style="150" bestFit="1" customWidth="1"/>
    <col min="4870" max="5121" width="9.140625" style="150"/>
    <col min="5122" max="5122" width="11.5703125" style="150" bestFit="1" customWidth="1"/>
    <col min="5123" max="5123" width="12.7109375" style="150" bestFit="1" customWidth="1"/>
    <col min="5124" max="5124" width="11.42578125" style="150" bestFit="1" customWidth="1"/>
    <col min="5125" max="5125" width="12.7109375" style="150" bestFit="1" customWidth="1"/>
    <col min="5126" max="5377" width="9.140625" style="150"/>
    <col min="5378" max="5378" width="11.5703125" style="150" bestFit="1" customWidth="1"/>
    <col min="5379" max="5379" width="12.7109375" style="150" bestFit="1" customWidth="1"/>
    <col min="5380" max="5380" width="11.42578125" style="150" bestFit="1" customWidth="1"/>
    <col min="5381" max="5381" width="12.7109375" style="150" bestFit="1" customWidth="1"/>
    <col min="5382" max="5633" width="9.140625" style="150"/>
    <col min="5634" max="5634" width="11.5703125" style="150" bestFit="1" customWidth="1"/>
    <col min="5635" max="5635" width="12.7109375" style="150" bestFit="1" customWidth="1"/>
    <col min="5636" max="5636" width="11.42578125" style="150" bestFit="1" customWidth="1"/>
    <col min="5637" max="5637" width="12.7109375" style="150" bestFit="1" customWidth="1"/>
    <col min="5638" max="5889" width="9.140625" style="150"/>
    <col min="5890" max="5890" width="11.5703125" style="150" bestFit="1" customWidth="1"/>
    <col min="5891" max="5891" width="12.7109375" style="150" bestFit="1" customWidth="1"/>
    <col min="5892" max="5892" width="11.42578125" style="150" bestFit="1" customWidth="1"/>
    <col min="5893" max="5893" width="12.7109375" style="150" bestFit="1" customWidth="1"/>
    <col min="5894" max="6145" width="9.140625" style="150"/>
    <col min="6146" max="6146" width="11.5703125" style="150" bestFit="1" customWidth="1"/>
    <col min="6147" max="6147" width="12.7109375" style="150" bestFit="1" customWidth="1"/>
    <col min="6148" max="6148" width="11.42578125" style="150" bestFit="1" customWidth="1"/>
    <col min="6149" max="6149" width="12.7109375" style="150" bestFit="1" customWidth="1"/>
    <col min="6150" max="6401" width="9.140625" style="150"/>
    <col min="6402" max="6402" width="11.5703125" style="150" bestFit="1" customWidth="1"/>
    <col min="6403" max="6403" width="12.7109375" style="150" bestFit="1" customWidth="1"/>
    <col min="6404" max="6404" width="11.42578125" style="150" bestFit="1" customWidth="1"/>
    <col min="6405" max="6405" width="12.7109375" style="150" bestFit="1" customWidth="1"/>
    <col min="6406" max="6657" width="9.140625" style="150"/>
    <col min="6658" max="6658" width="11.5703125" style="150" bestFit="1" customWidth="1"/>
    <col min="6659" max="6659" width="12.7109375" style="150" bestFit="1" customWidth="1"/>
    <col min="6660" max="6660" width="11.42578125" style="150" bestFit="1" customWidth="1"/>
    <col min="6661" max="6661" width="12.7109375" style="150" bestFit="1" customWidth="1"/>
    <col min="6662" max="6913" width="9.140625" style="150"/>
    <col min="6914" max="6914" width="11.5703125" style="150" bestFit="1" customWidth="1"/>
    <col min="6915" max="6915" width="12.7109375" style="150" bestFit="1" customWidth="1"/>
    <col min="6916" max="6916" width="11.42578125" style="150" bestFit="1" customWidth="1"/>
    <col min="6917" max="6917" width="12.7109375" style="150" bestFit="1" customWidth="1"/>
    <col min="6918" max="7169" width="9.140625" style="150"/>
    <col min="7170" max="7170" width="11.5703125" style="150" bestFit="1" customWidth="1"/>
    <col min="7171" max="7171" width="12.7109375" style="150" bestFit="1" customWidth="1"/>
    <col min="7172" max="7172" width="11.42578125" style="150" bestFit="1" customWidth="1"/>
    <col min="7173" max="7173" width="12.7109375" style="150" bestFit="1" customWidth="1"/>
    <col min="7174" max="7425" width="9.140625" style="150"/>
    <col min="7426" max="7426" width="11.5703125" style="150" bestFit="1" customWidth="1"/>
    <col min="7427" max="7427" width="12.7109375" style="150" bestFit="1" customWidth="1"/>
    <col min="7428" max="7428" width="11.42578125" style="150" bestFit="1" customWidth="1"/>
    <col min="7429" max="7429" width="12.7109375" style="150" bestFit="1" customWidth="1"/>
    <col min="7430" max="7681" width="9.140625" style="150"/>
    <col min="7682" max="7682" width="11.5703125" style="150" bestFit="1" customWidth="1"/>
    <col min="7683" max="7683" width="12.7109375" style="150" bestFit="1" customWidth="1"/>
    <col min="7684" max="7684" width="11.42578125" style="150" bestFit="1" customWidth="1"/>
    <col min="7685" max="7685" width="12.7109375" style="150" bestFit="1" customWidth="1"/>
    <col min="7686" max="7937" width="9.140625" style="150"/>
    <col min="7938" max="7938" width="11.5703125" style="150" bestFit="1" customWidth="1"/>
    <col min="7939" max="7939" width="12.7109375" style="150" bestFit="1" customWidth="1"/>
    <col min="7940" max="7940" width="11.42578125" style="150" bestFit="1" customWidth="1"/>
    <col min="7941" max="7941" width="12.7109375" style="150" bestFit="1" customWidth="1"/>
    <col min="7942" max="8193" width="9.140625" style="150"/>
    <col min="8194" max="8194" width="11.5703125" style="150" bestFit="1" customWidth="1"/>
    <col min="8195" max="8195" width="12.7109375" style="150" bestFit="1" customWidth="1"/>
    <col min="8196" max="8196" width="11.42578125" style="150" bestFit="1" customWidth="1"/>
    <col min="8197" max="8197" width="12.7109375" style="150" bestFit="1" customWidth="1"/>
    <col min="8198" max="8449" width="9.140625" style="150"/>
    <col min="8450" max="8450" width="11.5703125" style="150" bestFit="1" customWidth="1"/>
    <col min="8451" max="8451" width="12.7109375" style="150" bestFit="1" customWidth="1"/>
    <col min="8452" max="8452" width="11.42578125" style="150" bestFit="1" customWidth="1"/>
    <col min="8453" max="8453" width="12.7109375" style="150" bestFit="1" customWidth="1"/>
    <col min="8454" max="8705" width="9.140625" style="150"/>
    <col min="8706" max="8706" width="11.5703125" style="150" bestFit="1" customWidth="1"/>
    <col min="8707" max="8707" width="12.7109375" style="150" bestFit="1" customWidth="1"/>
    <col min="8708" max="8708" width="11.42578125" style="150" bestFit="1" customWidth="1"/>
    <col min="8709" max="8709" width="12.7109375" style="150" bestFit="1" customWidth="1"/>
    <col min="8710" max="8961" width="9.140625" style="150"/>
    <col min="8962" max="8962" width="11.5703125" style="150" bestFit="1" customWidth="1"/>
    <col min="8963" max="8963" width="12.7109375" style="150" bestFit="1" customWidth="1"/>
    <col min="8964" max="8964" width="11.42578125" style="150" bestFit="1" customWidth="1"/>
    <col min="8965" max="8965" width="12.7109375" style="150" bestFit="1" customWidth="1"/>
    <col min="8966" max="9217" width="9.140625" style="150"/>
    <col min="9218" max="9218" width="11.5703125" style="150" bestFit="1" customWidth="1"/>
    <col min="9219" max="9219" width="12.7109375" style="150" bestFit="1" customWidth="1"/>
    <col min="9220" max="9220" width="11.42578125" style="150" bestFit="1" customWidth="1"/>
    <col min="9221" max="9221" width="12.7109375" style="150" bestFit="1" customWidth="1"/>
    <col min="9222" max="9473" width="9.140625" style="150"/>
    <col min="9474" max="9474" width="11.5703125" style="150" bestFit="1" customWidth="1"/>
    <col min="9475" max="9475" width="12.7109375" style="150" bestFit="1" customWidth="1"/>
    <col min="9476" max="9476" width="11.42578125" style="150" bestFit="1" customWidth="1"/>
    <col min="9477" max="9477" width="12.7109375" style="150" bestFit="1" customWidth="1"/>
    <col min="9478" max="9729" width="9.140625" style="150"/>
    <col min="9730" max="9730" width="11.5703125" style="150" bestFit="1" customWidth="1"/>
    <col min="9731" max="9731" width="12.7109375" style="150" bestFit="1" customWidth="1"/>
    <col min="9732" max="9732" width="11.42578125" style="150" bestFit="1" customWidth="1"/>
    <col min="9733" max="9733" width="12.7109375" style="150" bestFit="1" customWidth="1"/>
    <col min="9734" max="9985" width="9.140625" style="150"/>
    <col min="9986" max="9986" width="11.5703125" style="150" bestFit="1" customWidth="1"/>
    <col min="9987" max="9987" width="12.7109375" style="150" bestFit="1" customWidth="1"/>
    <col min="9988" max="9988" width="11.42578125" style="150" bestFit="1" customWidth="1"/>
    <col min="9989" max="9989" width="12.7109375" style="150" bestFit="1" customWidth="1"/>
    <col min="9990" max="10241" width="9.140625" style="150"/>
    <col min="10242" max="10242" width="11.5703125" style="150" bestFit="1" customWidth="1"/>
    <col min="10243" max="10243" width="12.7109375" style="150" bestFit="1" customWidth="1"/>
    <col min="10244" max="10244" width="11.42578125" style="150" bestFit="1" customWidth="1"/>
    <col min="10245" max="10245" width="12.7109375" style="150" bestFit="1" customWidth="1"/>
    <col min="10246" max="10497" width="9.140625" style="150"/>
    <col min="10498" max="10498" width="11.5703125" style="150" bestFit="1" customWidth="1"/>
    <col min="10499" max="10499" width="12.7109375" style="150" bestFit="1" customWidth="1"/>
    <col min="10500" max="10500" width="11.42578125" style="150" bestFit="1" customWidth="1"/>
    <col min="10501" max="10501" width="12.7109375" style="150" bestFit="1" customWidth="1"/>
    <col min="10502" max="10753" width="9.140625" style="150"/>
    <col min="10754" max="10754" width="11.5703125" style="150" bestFit="1" customWidth="1"/>
    <col min="10755" max="10755" width="12.7109375" style="150" bestFit="1" customWidth="1"/>
    <col min="10756" max="10756" width="11.42578125" style="150" bestFit="1" customWidth="1"/>
    <col min="10757" max="10757" width="12.7109375" style="150" bestFit="1" customWidth="1"/>
    <col min="10758" max="11009" width="9.140625" style="150"/>
    <col min="11010" max="11010" width="11.5703125" style="150" bestFit="1" customWidth="1"/>
    <col min="11011" max="11011" width="12.7109375" style="150" bestFit="1" customWidth="1"/>
    <col min="11012" max="11012" width="11.42578125" style="150" bestFit="1" customWidth="1"/>
    <col min="11013" max="11013" width="12.7109375" style="150" bestFit="1" customWidth="1"/>
    <col min="11014" max="11265" width="9.140625" style="150"/>
    <col min="11266" max="11266" width="11.5703125" style="150" bestFit="1" customWidth="1"/>
    <col min="11267" max="11267" width="12.7109375" style="150" bestFit="1" customWidth="1"/>
    <col min="11268" max="11268" width="11.42578125" style="150" bestFit="1" customWidth="1"/>
    <col min="11269" max="11269" width="12.7109375" style="150" bestFit="1" customWidth="1"/>
    <col min="11270" max="11521" width="9.140625" style="150"/>
    <col min="11522" max="11522" width="11.5703125" style="150" bestFit="1" customWidth="1"/>
    <col min="11523" max="11523" width="12.7109375" style="150" bestFit="1" customWidth="1"/>
    <col min="11524" max="11524" width="11.42578125" style="150" bestFit="1" customWidth="1"/>
    <col min="11525" max="11525" width="12.7109375" style="150" bestFit="1" customWidth="1"/>
    <col min="11526" max="11777" width="9.140625" style="150"/>
    <col min="11778" max="11778" width="11.5703125" style="150" bestFit="1" customWidth="1"/>
    <col min="11779" max="11779" width="12.7109375" style="150" bestFit="1" customWidth="1"/>
    <col min="11780" max="11780" width="11.42578125" style="150" bestFit="1" customWidth="1"/>
    <col min="11781" max="11781" width="12.7109375" style="150" bestFit="1" customWidth="1"/>
    <col min="11782" max="12033" width="9.140625" style="150"/>
    <col min="12034" max="12034" width="11.5703125" style="150" bestFit="1" customWidth="1"/>
    <col min="12035" max="12035" width="12.7109375" style="150" bestFit="1" customWidth="1"/>
    <col min="12036" max="12036" width="11.42578125" style="150" bestFit="1" customWidth="1"/>
    <col min="12037" max="12037" width="12.7109375" style="150" bestFit="1" customWidth="1"/>
    <col min="12038" max="12289" width="9.140625" style="150"/>
    <col min="12290" max="12290" width="11.5703125" style="150" bestFit="1" customWidth="1"/>
    <col min="12291" max="12291" width="12.7109375" style="150" bestFit="1" customWidth="1"/>
    <col min="12292" max="12292" width="11.42578125" style="150" bestFit="1" customWidth="1"/>
    <col min="12293" max="12293" width="12.7109375" style="150" bestFit="1" customWidth="1"/>
    <col min="12294" max="12545" width="9.140625" style="150"/>
    <col min="12546" max="12546" width="11.5703125" style="150" bestFit="1" customWidth="1"/>
    <col min="12547" max="12547" width="12.7109375" style="150" bestFit="1" customWidth="1"/>
    <col min="12548" max="12548" width="11.42578125" style="150" bestFit="1" customWidth="1"/>
    <col min="12549" max="12549" width="12.7109375" style="150" bestFit="1" customWidth="1"/>
    <col min="12550" max="12801" width="9.140625" style="150"/>
    <col min="12802" max="12802" width="11.5703125" style="150" bestFit="1" customWidth="1"/>
    <col min="12803" max="12803" width="12.7109375" style="150" bestFit="1" customWidth="1"/>
    <col min="12804" max="12804" width="11.42578125" style="150" bestFit="1" customWidth="1"/>
    <col min="12805" max="12805" width="12.7109375" style="150" bestFit="1" customWidth="1"/>
    <col min="12806" max="13057" width="9.140625" style="150"/>
    <col min="13058" max="13058" width="11.5703125" style="150" bestFit="1" customWidth="1"/>
    <col min="13059" max="13059" width="12.7109375" style="150" bestFit="1" customWidth="1"/>
    <col min="13060" max="13060" width="11.42578125" style="150" bestFit="1" customWidth="1"/>
    <col min="13061" max="13061" width="12.7109375" style="150" bestFit="1" customWidth="1"/>
    <col min="13062" max="13313" width="9.140625" style="150"/>
    <col min="13314" max="13314" width="11.5703125" style="150" bestFit="1" customWidth="1"/>
    <col min="13315" max="13315" width="12.7109375" style="150" bestFit="1" customWidth="1"/>
    <col min="13316" max="13316" width="11.42578125" style="150" bestFit="1" customWidth="1"/>
    <col min="13317" max="13317" width="12.7109375" style="150" bestFit="1" customWidth="1"/>
    <col min="13318" max="13569" width="9.140625" style="150"/>
    <col min="13570" max="13570" width="11.5703125" style="150" bestFit="1" customWidth="1"/>
    <col min="13571" max="13571" width="12.7109375" style="150" bestFit="1" customWidth="1"/>
    <col min="13572" max="13572" width="11.42578125" style="150" bestFit="1" customWidth="1"/>
    <col min="13573" max="13573" width="12.7109375" style="150" bestFit="1" customWidth="1"/>
    <col min="13574" max="13825" width="9.140625" style="150"/>
    <col min="13826" max="13826" width="11.5703125" style="150" bestFit="1" customWidth="1"/>
    <col min="13827" max="13827" width="12.7109375" style="150" bestFit="1" customWidth="1"/>
    <col min="13828" max="13828" width="11.42578125" style="150" bestFit="1" customWidth="1"/>
    <col min="13829" max="13829" width="12.7109375" style="150" bestFit="1" customWidth="1"/>
    <col min="13830" max="14081" width="9.140625" style="150"/>
    <col min="14082" max="14082" width="11.5703125" style="150" bestFit="1" customWidth="1"/>
    <col min="14083" max="14083" width="12.7109375" style="150" bestFit="1" customWidth="1"/>
    <col min="14084" max="14084" width="11.42578125" style="150" bestFit="1" customWidth="1"/>
    <col min="14085" max="14085" width="12.7109375" style="150" bestFit="1" customWidth="1"/>
    <col min="14086" max="14337" width="9.140625" style="150"/>
    <col min="14338" max="14338" width="11.5703125" style="150" bestFit="1" customWidth="1"/>
    <col min="14339" max="14339" width="12.7109375" style="150" bestFit="1" customWidth="1"/>
    <col min="14340" max="14340" width="11.42578125" style="150" bestFit="1" customWidth="1"/>
    <col min="14341" max="14341" width="12.7109375" style="150" bestFit="1" customWidth="1"/>
    <col min="14342" max="14593" width="9.140625" style="150"/>
    <col min="14594" max="14594" width="11.5703125" style="150" bestFit="1" customWidth="1"/>
    <col min="14595" max="14595" width="12.7109375" style="150" bestFit="1" customWidth="1"/>
    <col min="14596" max="14596" width="11.42578125" style="150" bestFit="1" customWidth="1"/>
    <col min="14597" max="14597" width="12.7109375" style="150" bestFit="1" customWidth="1"/>
    <col min="14598" max="14849" width="9.140625" style="150"/>
    <col min="14850" max="14850" width="11.5703125" style="150" bestFit="1" customWidth="1"/>
    <col min="14851" max="14851" width="12.7109375" style="150" bestFit="1" customWidth="1"/>
    <col min="14852" max="14852" width="11.42578125" style="150" bestFit="1" customWidth="1"/>
    <col min="14853" max="14853" width="12.7109375" style="150" bestFit="1" customWidth="1"/>
    <col min="14854" max="15105" width="9.140625" style="150"/>
    <col min="15106" max="15106" width="11.5703125" style="150" bestFit="1" customWidth="1"/>
    <col min="15107" max="15107" width="12.7109375" style="150" bestFit="1" customWidth="1"/>
    <col min="15108" max="15108" width="11.42578125" style="150" bestFit="1" customWidth="1"/>
    <col min="15109" max="15109" width="12.7109375" style="150" bestFit="1" customWidth="1"/>
    <col min="15110" max="15361" width="9.140625" style="150"/>
    <col min="15362" max="15362" width="11.5703125" style="150" bestFit="1" customWidth="1"/>
    <col min="15363" max="15363" width="12.7109375" style="150" bestFit="1" customWidth="1"/>
    <col min="15364" max="15364" width="11.42578125" style="150" bestFit="1" customWidth="1"/>
    <col min="15365" max="15365" width="12.7109375" style="150" bestFit="1" customWidth="1"/>
    <col min="15366" max="15617" width="9.140625" style="150"/>
    <col min="15618" max="15618" width="11.5703125" style="150" bestFit="1" customWidth="1"/>
    <col min="15619" max="15619" width="12.7109375" style="150" bestFit="1" customWidth="1"/>
    <col min="15620" max="15620" width="11.42578125" style="150" bestFit="1" customWidth="1"/>
    <col min="15621" max="15621" width="12.7109375" style="150" bestFit="1" customWidth="1"/>
    <col min="15622" max="15873" width="9.140625" style="150"/>
    <col min="15874" max="15874" width="11.5703125" style="150" bestFit="1" customWidth="1"/>
    <col min="15875" max="15875" width="12.7109375" style="150" bestFit="1" customWidth="1"/>
    <col min="15876" max="15876" width="11.42578125" style="150" bestFit="1" customWidth="1"/>
    <col min="15877" max="15877" width="12.7109375" style="150" bestFit="1" customWidth="1"/>
    <col min="15878" max="16129" width="9.140625" style="150"/>
    <col min="16130" max="16130" width="11.5703125" style="150" bestFit="1" customWidth="1"/>
    <col min="16131" max="16131" width="12.7109375" style="150" bestFit="1" customWidth="1"/>
    <col min="16132" max="16132" width="11.42578125" style="150" bestFit="1" customWidth="1"/>
    <col min="16133" max="16133" width="12.7109375" style="150" bestFit="1" customWidth="1"/>
    <col min="16134" max="16384" width="9.140625" style="150"/>
  </cols>
  <sheetData>
    <row r="1" spans="1:20">
      <c r="A1" s="150" t="s">
        <v>166</v>
      </c>
      <c r="D1" s="150">
        <v>8</v>
      </c>
      <c r="G1" s="150" t="s">
        <v>167</v>
      </c>
      <c r="H1" s="150" t="s">
        <v>168</v>
      </c>
      <c r="L1" s="150" t="s">
        <v>169</v>
      </c>
      <c r="N1" s="150">
        <v>1</v>
      </c>
    </row>
    <row r="2" spans="1:20">
      <c r="A2" s="150" t="s">
        <v>170</v>
      </c>
      <c r="D2" s="150">
        <v>8</v>
      </c>
      <c r="G2" s="150" t="s">
        <v>171</v>
      </c>
      <c r="H2" s="150">
        <f>64/N$1</f>
        <v>64</v>
      </c>
    </row>
    <row r="3" spans="1:20">
      <c r="A3" s="150" t="s">
        <v>172</v>
      </c>
      <c r="D3" s="150">
        <v>8</v>
      </c>
      <c r="G3" s="150" t="s">
        <v>173</v>
      </c>
      <c r="H3" s="150">
        <f>32/N$1</f>
        <v>32</v>
      </c>
    </row>
    <row r="4" spans="1:20">
      <c r="A4" s="150" t="s">
        <v>174</v>
      </c>
      <c r="D4" s="150">
        <v>8</v>
      </c>
      <c r="G4" s="150" t="s">
        <v>175</v>
      </c>
      <c r="H4" s="150">
        <f>16/N$1</f>
        <v>16</v>
      </c>
    </row>
    <row r="5" spans="1:20">
      <c r="G5" s="150" t="s">
        <v>176</v>
      </c>
      <c r="H5" s="150">
        <f>8/N$1</f>
        <v>8</v>
      </c>
    </row>
    <row r="6" spans="1:20" ht="15.75">
      <c r="A6" s="151" t="s">
        <v>259</v>
      </c>
    </row>
    <row r="7" spans="1:20">
      <c r="A7" s="152"/>
      <c r="B7" s="152" t="s">
        <v>177</v>
      </c>
      <c r="C7" s="152"/>
      <c r="D7" s="152"/>
      <c r="E7" s="152"/>
      <c r="F7" s="152"/>
      <c r="H7" s="152"/>
      <c r="I7" s="152" t="s">
        <v>178</v>
      </c>
      <c r="J7" s="152"/>
      <c r="K7" s="152"/>
      <c r="L7" s="152"/>
      <c r="M7" s="152"/>
      <c r="O7" s="152"/>
      <c r="P7" s="152" t="s">
        <v>179</v>
      </c>
      <c r="Q7" s="152"/>
      <c r="R7" s="152"/>
      <c r="S7" s="152"/>
      <c r="T7" s="152"/>
    </row>
    <row r="8" spans="1:20">
      <c r="A8" s="152" t="s">
        <v>180</v>
      </c>
      <c r="B8" s="152" t="s">
        <v>181</v>
      </c>
      <c r="C8" s="152" t="s">
        <v>182</v>
      </c>
      <c r="D8" s="152" t="s">
        <v>183</v>
      </c>
      <c r="E8" s="152" t="s">
        <v>184</v>
      </c>
      <c r="F8" s="152" t="s">
        <v>185</v>
      </c>
      <c r="H8" s="152" t="s">
        <v>186</v>
      </c>
      <c r="I8" s="152" t="s">
        <v>181</v>
      </c>
      <c r="J8" s="152" t="s">
        <v>187</v>
      </c>
      <c r="K8" s="152" t="s">
        <v>188</v>
      </c>
      <c r="L8" s="152" t="s">
        <v>184</v>
      </c>
      <c r="M8" s="152" t="s">
        <v>189</v>
      </c>
      <c r="O8" s="152" t="s">
        <v>180</v>
      </c>
      <c r="P8" s="152" t="s">
        <v>190</v>
      </c>
      <c r="Q8" s="152" t="s">
        <v>187</v>
      </c>
      <c r="R8" s="152" t="s">
        <v>183</v>
      </c>
      <c r="S8" s="152" t="s">
        <v>184</v>
      </c>
      <c r="T8" s="152" t="s">
        <v>189</v>
      </c>
    </row>
    <row r="9" spans="1:20">
      <c r="A9" s="152" t="s">
        <v>222</v>
      </c>
      <c r="B9" s="153">
        <f>2*(H2-1)+1+2+2*(H2-1)+2*(H2-1)</f>
        <v>381</v>
      </c>
      <c r="C9" s="153">
        <f>0*H2</f>
        <v>0</v>
      </c>
      <c r="D9" s="153">
        <f>0*H2</f>
        <v>0</v>
      </c>
      <c r="E9" s="153">
        <f>1+1+(H2-1)+(H2-1)+1+(H2-1)+(H2-1)</f>
        <v>255</v>
      </c>
      <c r="F9" s="153">
        <f>0</f>
        <v>0</v>
      </c>
      <c r="H9" s="153" t="s">
        <v>191</v>
      </c>
      <c r="I9" s="153">
        <f>3*H2*H2+H2</f>
        <v>12352</v>
      </c>
      <c r="J9" s="153">
        <f>H2+H2</f>
        <v>128</v>
      </c>
      <c r="K9" s="153">
        <f>0</f>
        <v>0</v>
      </c>
      <c r="L9" s="153">
        <f>H2*H2+2*H2</f>
        <v>4224</v>
      </c>
      <c r="M9" s="153">
        <v>0</v>
      </c>
      <c r="O9" s="152" t="s">
        <v>191</v>
      </c>
      <c r="P9" s="153">
        <v>0</v>
      </c>
      <c r="Q9" s="153">
        <f>0</f>
        <v>0</v>
      </c>
      <c r="R9" s="153">
        <v>0</v>
      </c>
      <c r="S9" s="153">
        <v>0</v>
      </c>
      <c r="T9" s="153">
        <v>0</v>
      </c>
    </row>
    <row r="10" spans="1:20">
      <c r="A10" s="152" t="s">
        <v>223</v>
      </c>
      <c r="B10" s="153">
        <f>2*(H3-1)+1+2+2*(H3-1)+2*(H3-1)</f>
        <v>189</v>
      </c>
      <c r="C10" s="153">
        <f>0*H3</f>
        <v>0</v>
      </c>
      <c r="D10" s="153">
        <f>0*H3</f>
        <v>0</v>
      </c>
      <c r="E10" s="153">
        <f>1+1+(H3-1)+(H3-1)+1+(H3-1)+(H3-1)</f>
        <v>127</v>
      </c>
      <c r="F10" s="153">
        <f>0</f>
        <v>0</v>
      </c>
      <c r="H10" s="153" t="s">
        <v>173</v>
      </c>
      <c r="I10" s="153">
        <f>3*H3*H3+H3</f>
        <v>3104</v>
      </c>
      <c r="J10" s="153">
        <f>H3+H3</f>
        <v>64</v>
      </c>
      <c r="K10" s="153">
        <f>0</f>
        <v>0</v>
      </c>
      <c r="L10" s="153">
        <f>H3*H3+2*H3</f>
        <v>1088</v>
      </c>
      <c r="M10" s="153">
        <v>0</v>
      </c>
      <c r="O10" s="152" t="s">
        <v>173</v>
      </c>
      <c r="P10" s="153">
        <v>2</v>
      </c>
      <c r="Q10" s="153">
        <f>0</f>
        <v>0</v>
      </c>
      <c r="R10" s="153">
        <v>4</v>
      </c>
      <c r="S10" s="153">
        <v>2</v>
      </c>
      <c r="T10" s="153">
        <v>0</v>
      </c>
    </row>
    <row r="11" spans="1:20">
      <c r="A11" s="152" t="s">
        <v>224</v>
      </c>
      <c r="B11" s="153">
        <f>2*(H4-1)+1+2+2*(H4-1)+2*(H4-1)</f>
        <v>93</v>
      </c>
      <c r="C11" s="153">
        <f>0*H4</f>
        <v>0</v>
      </c>
      <c r="D11" s="153">
        <f>0*H4</f>
        <v>0</v>
      </c>
      <c r="E11" s="153">
        <f>1+1+(H4-1)+(H4-1)+1+(H4-1)+(H4-1)</f>
        <v>63</v>
      </c>
      <c r="F11" s="153">
        <f>0</f>
        <v>0</v>
      </c>
      <c r="H11" s="153" t="s">
        <v>192</v>
      </c>
      <c r="I11" s="153">
        <f>3*H4*H4+H4</f>
        <v>784</v>
      </c>
      <c r="J11" s="153">
        <f>H4+H4</f>
        <v>32</v>
      </c>
      <c r="K11" s="153">
        <f>0</f>
        <v>0</v>
      </c>
      <c r="L11" s="153">
        <f>H4*H4+2*H4</f>
        <v>288</v>
      </c>
      <c r="M11" s="153">
        <v>0</v>
      </c>
      <c r="O11" s="152" t="s">
        <v>192</v>
      </c>
      <c r="P11" s="153">
        <v>2</v>
      </c>
      <c r="Q11" s="153">
        <f>0</f>
        <v>0</v>
      </c>
      <c r="R11" s="153">
        <v>4</v>
      </c>
      <c r="S11" s="153">
        <v>2</v>
      </c>
      <c r="T11" s="153">
        <v>0</v>
      </c>
    </row>
    <row r="12" spans="1:20">
      <c r="A12" s="152" t="s">
        <v>225</v>
      </c>
      <c r="B12" s="153">
        <f>2*(H5-1)+1+2+2*(H5-1)+2*(H5-1)</f>
        <v>45</v>
      </c>
      <c r="C12" s="153">
        <f>0*H5</f>
        <v>0</v>
      </c>
      <c r="D12" s="153">
        <f>0*H5</f>
        <v>0</v>
      </c>
      <c r="E12" s="153">
        <f>1+1+(H5-1)+(H5-1)+1+(H5-1)+(H5-1)</f>
        <v>31</v>
      </c>
      <c r="F12" s="153">
        <f>0</f>
        <v>0</v>
      </c>
      <c r="H12" s="153" t="s">
        <v>193</v>
      </c>
      <c r="I12" s="153">
        <f>3*H5*H5+H5</f>
        <v>200</v>
      </c>
      <c r="J12" s="153">
        <f>H5+H5</f>
        <v>16</v>
      </c>
      <c r="K12" s="153">
        <f>0</f>
        <v>0</v>
      </c>
      <c r="L12" s="153">
        <f>H5*H5+2*H5</f>
        <v>80</v>
      </c>
      <c r="M12" s="153">
        <v>0</v>
      </c>
      <c r="O12" s="152" t="s">
        <v>193</v>
      </c>
      <c r="P12" s="153">
        <v>2</v>
      </c>
      <c r="Q12" s="153">
        <f>0</f>
        <v>0</v>
      </c>
      <c r="R12" s="153">
        <v>4</v>
      </c>
      <c r="S12" s="153">
        <v>2</v>
      </c>
      <c r="T12" s="153">
        <v>0</v>
      </c>
    </row>
    <row r="14" spans="1:20">
      <c r="A14" s="152"/>
      <c r="B14" s="152" t="s">
        <v>194</v>
      </c>
      <c r="C14" s="152"/>
      <c r="D14" s="152"/>
      <c r="E14" s="152"/>
      <c r="F14" s="152"/>
      <c r="H14" s="152"/>
      <c r="I14" s="152" t="s">
        <v>195</v>
      </c>
      <c r="J14" s="152"/>
      <c r="K14" s="152"/>
      <c r="L14" s="152"/>
      <c r="M14" s="152"/>
      <c r="O14" s="152"/>
      <c r="P14" s="152" t="s">
        <v>196</v>
      </c>
      <c r="Q14" s="152"/>
      <c r="R14" s="152"/>
      <c r="S14" s="152"/>
      <c r="T14" s="152"/>
    </row>
    <row r="15" spans="1:20">
      <c r="A15" s="152" t="s">
        <v>197</v>
      </c>
      <c r="B15" s="152" t="s">
        <v>198</v>
      </c>
      <c r="C15" s="152" t="s">
        <v>199</v>
      </c>
      <c r="D15" s="152" t="s">
        <v>200</v>
      </c>
      <c r="E15" s="152" t="s">
        <v>201</v>
      </c>
      <c r="F15" s="152" t="s">
        <v>202</v>
      </c>
      <c r="H15" s="152" t="s">
        <v>197</v>
      </c>
      <c r="I15" s="152" t="s">
        <v>198</v>
      </c>
      <c r="J15" s="152" t="s">
        <v>199</v>
      </c>
      <c r="K15" s="152" t="s">
        <v>200</v>
      </c>
      <c r="L15" s="152" t="s">
        <v>201</v>
      </c>
      <c r="M15" s="152" t="s">
        <v>202</v>
      </c>
      <c r="O15" s="152" t="s">
        <v>197</v>
      </c>
      <c r="P15" s="152" t="s">
        <v>198</v>
      </c>
      <c r="Q15" s="152" t="s">
        <v>199</v>
      </c>
      <c r="R15" s="152" t="s">
        <v>200</v>
      </c>
      <c r="S15" s="152" t="s">
        <v>201</v>
      </c>
      <c r="T15" s="152" t="s">
        <v>202</v>
      </c>
    </row>
    <row r="16" spans="1:20">
      <c r="A16" s="152" t="s">
        <v>203</v>
      </c>
      <c r="B16" s="153">
        <f>(H2/2)*(H2/2)</f>
        <v>1024</v>
      </c>
      <c r="C16" s="153">
        <f>0</f>
        <v>0</v>
      </c>
      <c r="D16" s="153">
        <f>0</f>
        <v>0</v>
      </c>
      <c r="E16" s="153">
        <f>1</f>
        <v>1</v>
      </c>
      <c r="F16" s="153">
        <f>0</f>
        <v>0</v>
      </c>
      <c r="H16" s="152" t="s">
        <v>203</v>
      </c>
      <c r="I16" s="153">
        <f>(H2/2)*(H2/2)</f>
        <v>1024</v>
      </c>
      <c r="J16" s="153">
        <f>0</f>
        <v>0</v>
      </c>
      <c r="K16" s="153">
        <f>0</f>
        <v>0</v>
      </c>
      <c r="L16" s="153">
        <f>1</f>
        <v>1</v>
      </c>
      <c r="M16" s="153">
        <f>0</f>
        <v>0</v>
      </c>
      <c r="O16" s="152" t="s">
        <v>203</v>
      </c>
      <c r="P16" s="153">
        <v>0</v>
      </c>
      <c r="Q16" s="153">
        <f>0</f>
        <v>0</v>
      </c>
      <c r="R16" s="153">
        <v>0</v>
      </c>
      <c r="S16" s="153">
        <v>0</v>
      </c>
      <c r="T16" s="153">
        <f>0</f>
        <v>0</v>
      </c>
    </row>
    <row r="17" spans="1:20">
      <c r="A17" s="152" t="s">
        <v>204</v>
      </c>
      <c r="B17" s="153">
        <f>(H3/2)*(H3/2)</f>
        <v>256</v>
      </c>
      <c r="C17" s="153">
        <f>0</f>
        <v>0</v>
      </c>
      <c r="D17" s="153">
        <f>0</f>
        <v>0</v>
      </c>
      <c r="E17" s="153">
        <f>1</f>
        <v>1</v>
      </c>
      <c r="F17" s="153">
        <f>0</f>
        <v>0</v>
      </c>
      <c r="H17" s="152" t="s">
        <v>204</v>
      </c>
      <c r="I17" s="153">
        <f>(H3/2)*(H3/2)</f>
        <v>256</v>
      </c>
      <c r="J17" s="153">
        <f>0</f>
        <v>0</v>
      </c>
      <c r="K17" s="153">
        <f>0</f>
        <v>0</v>
      </c>
      <c r="L17" s="153">
        <f>1</f>
        <v>1</v>
      </c>
      <c r="M17" s="153">
        <f>0</f>
        <v>0</v>
      </c>
      <c r="O17" s="152" t="s">
        <v>204</v>
      </c>
      <c r="P17" s="153">
        <v>0</v>
      </c>
      <c r="Q17" s="153">
        <f>0</f>
        <v>0</v>
      </c>
      <c r="R17" s="153">
        <v>0</v>
      </c>
      <c r="S17" s="153">
        <v>0</v>
      </c>
      <c r="T17" s="153">
        <f>0</f>
        <v>0</v>
      </c>
    </row>
    <row r="18" spans="1:20">
      <c r="A18" s="152" t="s">
        <v>192</v>
      </c>
      <c r="B18" s="153">
        <f>H4*H4</f>
        <v>256</v>
      </c>
      <c r="C18" s="153">
        <f>0</f>
        <v>0</v>
      </c>
      <c r="D18" s="153">
        <f>0</f>
        <v>0</v>
      </c>
      <c r="E18" s="153">
        <f>1</f>
        <v>1</v>
      </c>
      <c r="F18" s="153">
        <f>0</f>
        <v>0</v>
      </c>
      <c r="H18" s="152" t="s">
        <v>192</v>
      </c>
      <c r="I18" s="153">
        <f>H4*H4</f>
        <v>256</v>
      </c>
      <c r="J18" s="153">
        <f>0</f>
        <v>0</v>
      </c>
      <c r="K18" s="153">
        <f>0</f>
        <v>0</v>
      </c>
      <c r="L18" s="153">
        <f>1</f>
        <v>1</v>
      </c>
      <c r="M18" s="153">
        <f>0</f>
        <v>0</v>
      </c>
      <c r="O18" s="152" t="s">
        <v>192</v>
      </c>
      <c r="P18" s="153">
        <v>0</v>
      </c>
      <c r="Q18" s="153">
        <f>0</f>
        <v>0</v>
      </c>
      <c r="R18" s="153">
        <v>0</v>
      </c>
      <c r="S18" s="153">
        <v>0</v>
      </c>
      <c r="T18" s="153">
        <f>0</f>
        <v>0</v>
      </c>
    </row>
    <row r="19" spans="1:20">
      <c r="A19" s="152" t="s">
        <v>193</v>
      </c>
      <c r="B19" s="153">
        <f>H5*H5</f>
        <v>64</v>
      </c>
      <c r="C19" s="153">
        <f>0</f>
        <v>0</v>
      </c>
      <c r="D19" s="153">
        <f>0</f>
        <v>0</v>
      </c>
      <c r="E19" s="153">
        <f>1</f>
        <v>1</v>
      </c>
      <c r="F19" s="153">
        <f>0</f>
        <v>0</v>
      </c>
      <c r="H19" s="152" t="s">
        <v>193</v>
      </c>
      <c r="I19" s="153">
        <f>H5*H5</f>
        <v>64</v>
      </c>
      <c r="J19" s="153">
        <f>0</f>
        <v>0</v>
      </c>
      <c r="K19" s="153">
        <f>0</f>
        <v>0</v>
      </c>
      <c r="L19" s="153">
        <f>1</f>
        <v>1</v>
      </c>
      <c r="M19" s="153">
        <f>0</f>
        <v>0</v>
      </c>
      <c r="O19" s="152" t="s">
        <v>193</v>
      </c>
      <c r="P19" s="153">
        <v>0</v>
      </c>
      <c r="Q19" s="153">
        <f>0</f>
        <v>0</v>
      </c>
      <c r="R19" s="153">
        <v>0</v>
      </c>
      <c r="S19" s="153">
        <v>0</v>
      </c>
      <c r="T19" s="153">
        <f>0</f>
        <v>0</v>
      </c>
    </row>
    <row r="21" spans="1:20">
      <c r="A21" s="152"/>
      <c r="B21" s="152" t="s">
        <v>205</v>
      </c>
      <c r="C21" s="152"/>
      <c r="D21" s="152"/>
      <c r="E21" s="152"/>
      <c r="F21" s="152"/>
      <c r="H21" s="152"/>
      <c r="I21" s="152" t="s">
        <v>206</v>
      </c>
      <c r="J21" s="152"/>
      <c r="K21" s="152"/>
      <c r="L21" s="152"/>
      <c r="M21" s="152"/>
      <c r="O21" s="152"/>
      <c r="P21" s="152" t="s">
        <v>207</v>
      </c>
      <c r="Q21" s="152"/>
      <c r="R21" s="152"/>
      <c r="S21" s="152"/>
      <c r="T21" s="152"/>
    </row>
    <row r="22" spans="1:20">
      <c r="A22" s="152" t="s">
        <v>197</v>
      </c>
      <c r="B22" s="152" t="s">
        <v>198</v>
      </c>
      <c r="C22" s="152" t="s">
        <v>199</v>
      </c>
      <c r="D22" s="152" t="s">
        <v>200</v>
      </c>
      <c r="E22" s="152" t="s">
        <v>201</v>
      </c>
      <c r="F22" s="152" t="s">
        <v>202</v>
      </c>
      <c r="H22" s="152" t="s">
        <v>197</v>
      </c>
      <c r="I22" s="152" t="s">
        <v>198</v>
      </c>
      <c r="J22" s="152" t="s">
        <v>199</v>
      </c>
      <c r="K22" s="152" t="s">
        <v>200</v>
      </c>
      <c r="L22" s="152" t="s">
        <v>201</v>
      </c>
      <c r="M22" s="152" t="s">
        <v>202</v>
      </c>
      <c r="O22" s="152" t="s">
        <v>197</v>
      </c>
      <c r="P22" s="152" t="s">
        <v>198</v>
      </c>
      <c r="Q22" s="152" t="s">
        <v>199</v>
      </c>
      <c r="R22" s="152" t="s">
        <v>200</v>
      </c>
      <c r="S22" s="152" t="s">
        <v>201</v>
      </c>
      <c r="T22" s="152" t="s">
        <v>202</v>
      </c>
    </row>
    <row r="23" spans="1:20">
      <c r="A23" s="152" t="s">
        <v>203</v>
      </c>
      <c r="B23" s="153">
        <f>1+1+(H2-1)+(H2-1)+1</f>
        <v>129</v>
      </c>
      <c r="C23" s="153">
        <f>1</f>
        <v>1</v>
      </c>
      <c r="D23" s="153">
        <f>0</f>
        <v>0</v>
      </c>
      <c r="E23" s="153">
        <f>0</f>
        <v>0</v>
      </c>
      <c r="F23" s="153">
        <v>2</v>
      </c>
      <c r="H23" s="152" t="s">
        <v>203</v>
      </c>
      <c r="I23" s="153">
        <f>1+H2*H2</f>
        <v>4097</v>
      </c>
      <c r="J23" s="153">
        <f>1</f>
        <v>1</v>
      </c>
      <c r="K23" s="153">
        <f>0</f>
        <v>0</v>
      </c>
      <c r="L23" s="153">
        <f>0</f>
        <v>0</v>
      </c>
      <c r="M23" s="153">
        <v>2</v>
      </c>
      <c r="O23" s="152" t="s">
        <v>203</v>
      </c>
      <c r="P23" s="153">
        <v>0</v>
      </c>
      <c r="Q23" s="153">
        <v>0</v>
      </c>
      <c r="R23" s="153">
        <f>0</f>
        <v>0</v>
      </c>
      <c r="S23" s="153">
        <f>0</f>
        <v>0</v>
      </c>
      <c r="T23" s="153">
        <v>0</v>
      </c>
    </row>
    <row r="24" spans="1:20">
      <c r="A24" s="152" t="s">
        <v>204</v>
      </c>
      <c r="B24" s="153">
        <f>1+1+(H3-1)+(H3-1)+1</f>
        <v>65</v>
      </c>
      <c r="C24" s="153">
        <f>1</f>
        <v>1</v>
      </c>
      <c r="D24" s="153">
        <f>0</f>
        <v>0</v>
      </c>
      <c r="E24" s="153">
        <f>0</f>
        <v>0</v>
      </c>
      <c r="F24" s="153">
        <v>2</v>
      </c>
      <c r="H24" s="152" t="s">
        <v>204</v>
      </c>
      <c r="I24" s="153">
        <f>1+H3*H3</f>
        <v>1025</v>
      </c>
      <c r="J24" s="153">
        <f>1</f>
        <v>1</v>
      </c>
      <c r="K24" s="153">
        <f>0</f>
        <v>0</v>
      </c>
      <c r="L24" s="153">
        <f>0</f>
        <v>0</v>
      </c>
      <c r="M24" s="153">
        <v>2</v>
      </c>
      <c r="O24" s="152" t="s">
        <v>204</v>
      </c>
      <c r="P24" s="153">
        <f>2+2</f>
        <v>4</v>
      </c>
      <c r="Q24" s="153">
        <f>2</f>
        <v>2</v>
      </c>
      <c r="R24" s="153">
        <f>0</f>
        <v>0</v>
      </c>
      <c r="S24" s="153">
        <f>0</f>
        <v>0</v>
      </c>
      <c r="T24" s="153">
        <v>4</v>
      </c>
    </row>
    <row r="25" spans="1:20">
      <c r="A25" s="152" t="s">
        <v>192</v>
      </c>
      <c r="B25" s="153">
        <f>1+1+(H4-1)+(H4-1)+1</f>
        <v>33</v>
      </c>
      <c r="C25" s="153">
        <f>1</f>
        <v>1</v>
      </c>
      <c r="D25" s="153">
        <f>0</f>
        <v>0</v>
      </c>
      <c r="E25" s="153">
        <f>0</f>
        <v>0</v>
      </c>
      <c r="F25" s="153">
        <v>2</v>
      </c>
      <c r="H25" s="152" t="s">
        <v>192</v>
      </c>
      <c r="I25" s="153">
        <f>1+H4*H4</f>
        <v>257</v>
      </c>
      <c r="J25" s="153">
        <f>1</f>
        <v>1</v>
      </c>
      <c r="K25" s="153">
        <f>0</f>
        <v>0</v>
      </c>
      <c r="L25" s="153">
        <f>0</f>
        <v>0</v>
      </c>
      <c r="M25" s="153">
        <v>2</v>
      </c>
      <c r="O25" s="152" t="s">
        <v>192</v>
      </c>
      <c r="P25" s="153">
        <f>2+2</f>
        <v>4</v>
      </c>
      <c r="Q25" s="153">
        <f>2</f>
        <v>2</v>
      </c>
      <c r="R25" s="153">
        <f>0</f>
        <v>0</v>
      </c>
      <c r="S25" s="153">
        <f>0</f>
        <v>0</v>
      </c>
      <c r="T25" s="153">
        <v>4</v>
      </c>
    </row>
    <row r="26" spans="1:20">
      <c r="A26" s="152" t="s">
        <v>193</v>
      </c>
      <c r="B26" s="153">
        <f>1+1+(H5-1)+(H5-1)+1</f>
        <v>17</v>
      </c>
      <c r="C26" s="153">
        <f>1</f>
        <v>1</v>
      </c>
      <c r="D26" s="153">
        <f>0</f>
        <v>0</v>
      </c>
      <c r="E26" s="153">
        <f>0</f>
        <v>0</v>
      </c>
      <c r="F26" s="153">
        <v>2</v>
      </c>
      <c r="H26" s="152" t="s">
        <v>193</v>
      </c>
      <c r="I26" s="153">
        <f>1+H5*H5</f>
        <v>65</v>
      </c>
      <c r="J26" s="153">
        <f>1</f>
        <v>1</v>
      </c>
      <c r="K26" s="153">
        <f>0</f>
        <v>0</v>
      </c>
      <c r="L26" s="153">
        <f>0</f>
        <v>0</v>
      </c>
      <c r="M26" s="153">
        <v>2</v>
      </c>
      <c r="O26" s="152" t="s">
        <v>193</v>
      </c>
      <c r="P26" s="153">
        <f>2+2</f>
        <v>4</v>
      </c>
      <c r="Q26" s="153">
        <f>2</f>
        <v>2</v>
      </c>
      <c r="R26" s="153">
        <f>0</f>
        <v>0</v>
      </c>
      <c r="S26" s="153">
        <f>0</f>
        <v>0</v>
      </c>
      <c r="T26" s="153">
        <v>4</v>
      </c>
    </row>
    <row r="28" spans="1:20">
      <c r="A28" s="152"/>
      <c r="B28" s="152" t="s">
        <v>208</v>
      </c>
      <c r="C28" s="152"/>
      <c r="D28" s="152"/>
      <c r="E28" s="152"/>
      <c r="F28" s="152"/>
      <c r="H28" s="152"/>
      <c r="I28" s="152" t="s">
        <v>208</v>
      </c>
      <c r="J28" s="152"/>
      <c r="K28" s="152"/>
      <c r="L28" s="152"/>
      <c r="M28" s="152"/>
      <c r="O28" s="152"/>
      <c r="P28" s="152" t="s">
        <v>208</v>
      </c>
      <c r="Q28" s="152"/>
      <c r="R28" s="152"/>
      <c r="S28" s="152"/>
      <c r="T28" s="152"/>
    </row>
    <row r="29" spans="1:20">
      <c r="A29" s="152" t="s">
        <v>197</v>
      </c>
      <c r="B29" s="152" t="s">
        <v>198</v>
      </c>
      <c r="C29" s="152" t="s">
        <v>199</v>
      </c>
      <c r="D29" s="152" t="s">
        <v>200</v>
      </c>
      <c r="E29" s="152" t="s">
        <v>201</v>
      </c>
      <c r="F29" s="152" t="s">
        <v>202</v>
      </c>
      <c r="H29" s="152" t="s">
        <v>197</v>
      </c>
      <c r="I29" s="152" t="s">
        <v>198</v>
      </c>
      <c r="J29" s="152" t="s">
        <v>199</v>
      </c>
      <c r="K29" s="152" t="s">
        <v>200</v>
      </c>
      <c r="L29" s="152" t="s">
        <v>201</v>
      </c>
      <c r="M29" s="152" t="s">
        <v>202</v>
      </c>
      <c r="O29" s="152" t="s">
        <v>197</v>
      </c>
      <c r="P29" s="152" t="s">
        <v>198</v>
      </c>
      <c r="Q29" s="152" t="s">
        <v>199</v>
      </c>
      <c r="R29" s="152" t="s">
        <v>200</v>
      </c>
      <c r="S29" s="152" t="s">
        <v>201</v>
      </c>
      <c r="T29" s="152" t="s">
        <v>202</v>
      </c>
    </row>
    <row r="30" spans="1:20">
      <c r="A30" s="152" t="s">
        <v>203</v>
      </c>
      <c r="B30" s="153">
        <f t="shared" ref="B30:F33" si="0">B9+B16+B23</f>
        <v>1534</v>
      </c>
      <c r="C30" s="153">
        <f t="shared" si="0"/>
        <v>1</v>
      </c>
      <c r="D30" s="153">
        <f t="shared" si="0"/>
        <v>0</v>
      </c>
      <c r="E30" s="153">
        <f t="shared" si="0"/>
        <v>256</v>
      </c>
      <c r="F30" s="153">
        <f t="shared" si="0"/>
        <v>2</v>
      </c>
      <c r="H30" s="152" t="s">
        <v>203</v>
      </c>
      <c r="I30" s="153">
        <f t="shared" ref="I30:M33" si="1">I9+I16+I23</f>
        <v>17473</v>
      </c>
      <c r="J30" s="153">
        <f t="shared" si="1"/>
        <v>129</v>
      </c>
      <c r="K30" s="153">
        <f t="shared" si="1"/>
        <v>0</v>
      </c>
      <c r="L30" s="153">
        <f t="shared" si="1"/>
        <v>4225</v>
      </c>
      <c r="M30" s="153">
        <f t="shared" si="1"/>
        <v>2</v>
      </c>
      <c r="O30" s="152" t="s">
        <v>203</v>
      </c>
      <c r="P30" s="153">
        <f t="shared" ref="P30:T33" si="2">P9+P16+P23</f>
        <v>0</v>
      </c>
      <c r="Q30" s="153">
        <f t="shared" si="2"/>
        <v>0</v>
      </c>
      <c r="R30" s="153">
        <f t="shared" si="2"/>
        <v>0</v>
      </c>
      <c r="S30" s="153">
        <f t="shared" si="2"/>
        <v>0</v>
      </c>
      <c r="T30" s="153">
        <f t="shared" si="2"/>
        <v>0</v>
      </c>
    </row>
    <row r="31" spans="1:20">
      <c r="A31" s="152" t="s">
        <v>204</v>
      </c>
      <c r="B31" s="153">
        <f t="shared" si="0"/>
        <v>510</v>
      </c>
      <c r="C31" s="153">
        <f t="shared" si="0"/>
        <v>1</v>
      </c>
      <c r="D31" s="153">
        <f t="shared" si="0"/>
        <v>0</v>
      </c>
      <c r="E31" s="153">
        <f t="shared" si="0"/>
        <v>128</v>
      </c>
      <c r="F31" s="153">
        <f t="shared" si="0"/>
        <v>2</v>
      </c>
      <c r="H31" s="152" t="s">
        <v>204</v>
      </c>
      <c r="I31" s="153">
        <f t="shared" si="1"/>
        <v>4385</v>
      </c>
      <c r="J31" s="153">
        <f t="shared" si="1"/>
        <v>65</v>
      </c>
      <c r="K31" s="153">
        <f t="shared" si="1"/>
        <v>0</v>
      </c>
      <c r="L31" s="153">
        <f t="shared" si="1"/>
        <v>1089</v>
      </c>
      <c r="M31" s="153">
        <f t="shared" si="1"/>
        <v>2</v>
      </c>
      <c r="O31" s="152" t="s">
        <v>204</v>
      </c>
      <c r="P31" s="153">
        <f t="shared" si="2"/>
        <v>6</v>
      </c>
      <c r="Q31" s="153">
        <f t="shared" si="2"/>
        <v>2</v>
      </c>
      <c r="R31" s="153">
        <f t="shared" si="2"/>
        <v>4</v>
      </c>
      <c r="S31" s="153">
        <f t="shared" si="2"/>
        <v>2</v>
      </c>
      <c r="T31" s="153">
        <f t="shared" si="2"/>
        <v>4</v>
      </c>
    </row>
    <row r="32" spans="1:20">
      <c r="A32" s="152" t="s">
        <v>192</v>
      </c>
      <c r="B32" s="153">
        <f t="shared" si="0"/>
        <v>382</v>
      </c>
      <c r="C32" s="153">
        <f t="shared" si="0"/>
        <v>1</v>
      </c>
      <c r="D32" s="153">
        <f t="shared" si="0"/>
        <v>0</v>
      </c>
      <c r="E32" s="153">
        <f t="shared" si="0"/>
        <v>64</v>
      </c>
      <c r="F32" s="153">
        <f t="shared" si="0"/>
        <v>2</v>
      </c>
      <c r="H32" s="152" t="s">
        <v>192</v>
      </c>
      <c r="I32" s="153">
        <f t="shared" si="1"/>
        <v>1297</v>
      </c>
      <c r="J32" s="153">
        <f t="shared" si="1"/>
        <v>33</v>
      </c>
      <c r="K32" s="153">
        <f t="shared" si="1"/>
        <v>0</v>
      </c>
      <c r="L32" s="153">
        <f t="shared" si="1"/>
        <v>289</v>
      </c>
      <c r="M32" s="153">
        <f t="shared" si="1"/>
        <v>2</v>
      </c>
      <c r="O32" s="152" t="s">
        <v>192</v>
      </c>
      <c r="P32" s="153">
        <f t="shared" si="2"/>
        <v>6</v>
      </c>
      <c r="Q32" s="153">
        <f t="shared" si="2"/>
        <v>2</v>
      </c>
      <c r="R32" s="153">
        <f t="shared" si="2"/>
        <v>4</v>
      </c>
      <c r="S32" s="153">
        <f t="shared" si="2"/>
        <v>2</v>
      </c>
      <c r="T32" s="153">
        <f t="shared" si="2"/>
        <v>4</v>
      </c>
    </row>
    <row r="33" spans="1:20">
      <c r="A33" s="152" t="s">
        <v>193</v>
      </c>
      <c r="B33" s="153">
        <f t="shared" si="0"/>
        <v>126</v>
      </c>
      <c r="C33" s="153">
        <f t="shared" si="0"/>
        <v>1</v>
      </c>
      <c r="D33" s="153">
        <f t="shared" si="0"/>
        <v>0</v>
      </c>
      <c r="E33" s="153">
        <f t="shared" si="0"/>
        <v>32</v>
      </c>
      <c r="F33" s="153">
        <f t="shared" si="0"/>
        <v>2</v>
      </c>
      <c r="H33" s="152" t="s">
        <v>193</v>
      </c>
      <c r="I33" s="153">
        <f t="shared" si="1"/>
        <v>329</v>
      </c>
      <c r="J33" s="153">
        <f t="shared" si="1"/>
        <v>17</v>
      </c>
      <c r="K33" s="153">
        <f t="shared" si="1"/>
        <v>0</v>
      </c>
      <c r="L33" s="153">
        <f t="shared" si="1"/>
        <v>81</v>
      </c>
      <c r="M33" s="153">
        <f t="shared" si="1"/>
        <v>2</v>
      </c>
      <c r="O33" s="152" t="s">
        <v>193</v>
      </c>
      <c r="P33" s="153">
        <f t="shared" si="2"/>
        <v>6</v>
      </c>
      <c r="Q33" s="153">
        <f t="shared" si="2"/>
        <v>2</v>
      </c>
      <c r="R33" s="153">
        <f t="shared" si="2"/>
        <v>4</v>
      </c>
      <c r="S33" s="153">
        <f t="shared" si="2"/>
        <v>2</v>
      </c>
      <c r="T33" s="153">
        <f t="shared" si="2"/>
        <v>4</v>
      </c>
    </row>
    <row r="35" spans="1:20">
      <c r="A35" s="152"/>
      <c r="B35" s="152" t="s">
        <v>209</v>
      </c>
      <c r="C35" s="152"/>
      <c r="H35" s="152"/>
      <c r="I35" s="152" t="s">
        <v>209</v>
      </c>
      <c r="J35" s="152"/>
      <c r="O35" s="152"/>
      <c r="P35" s="152" t="s">
        <v>210</v>
      </c>
      <c r="Q35" s="152"/>
    </row>
    <row r="36" spans="1:20">
      <c r="A36" s="152" t="s">
        <v>197</v>
      </c>
      <c r="B36" s="152" t="s">
        <v>211</v>
      </c>
      <c r="C36" s="152" t="s">
        <v>202</v>
      </c>
      <c r="H36" s="152" t="s">
        <v>197</v>
      </c>
      <c r="I36" s="152" t="s">
        <v>211</v>
      </c>
      <c r="J36" s="152" t="s">
        <v>202</v>
      </c>
      <c r="O36" s="152" t="s">
        <v>197</v>
      </c>
      <c r="P36" s="152" t="s">
        <v>211</v>
      </c>
      <c r="Q36" s="152" t="s">
        <v>202</v>
      </c>
    </row>
    <row r="37" spans="1:20">
      <c r="A37" s="152" t="s">
        <v>203</v>
      </c>
      <c r="B37" s="153">
        <f>B30+C30+D30</f>
        <v>1535</v>
      </c>
      <c r="C37" s="153">
        <f>F30</f>
        <v>2</v>
      </c>
      <c r="H37" s="152" t="s">
        <v>203</v>
      </c>
      <c r="I37" s="153">
        <f>I30+J30+K30</f>
        <v>17602</v>
      </c>
      <c r="J37" s="153">
        <f>M30</f>
        <v>2</v>
      </c>
      <c r="O37" s="152" t="s">
        <v>212</v>
      </c>
      <c r="P37" s="153">
        <f>P30+Q30+R30</f>
        <v>0</v>
      </c>
      <c r="Q37" s="153">
        <f>T30</f>
        <v>0</v>
      </c>
    </row>
    <row r="38" spans="1:20">
      <c r="A38" s="152" t="s">
        <v>204</v>
      </c>
      <c r="B38" s="153">
        <f>B31+C31+D31</f>
        <v>511</v>
      </c>
      <c r="C38" s="153">
        <f>F31</f>
        <v>2</v>
      </c>
      <c r="H38" s="152" t="s">
        <v>204</v>
      </c>
      <c r="I38" s="153">
        <f>I31+J31+K31</f>
        <v>4450</v>
      </c>
      <c r="J38" s="153">
        <f>M31</f>
        <v>2</v>
      </c>
      <c r="O38" s="152" t="s">
        <v>204</v>
      </c>
      <c r="P38" s="153">
        <f>P31+Q31+R31</f>
        <v>12</v>
      </c>
      <c r="Q38" s="153">
        <f>T31</f>
        <v>4</v>
      </c>
    </row>
    <row r="39" spans="1:20">
      <c r="A39" s="152" t="s">
        <v>192</v>
      </c>
      <c r="B39" s="153">
        <f>B32+C32+D32</f>
        <v>383</v>
      </c>
      <c r="C39" s="153">
        <f>F32</f>
        <v>2</v>
      </c>
      <c r="H39" s="152" t="s">
        <v>192</v>
      </c>
      <c r="I39" s="153">
        <f>I32+J32+K32</f>
        <v>1330</v>
      </c>
      <c r="J39" s="153">
        <f>M32</f>
        <v>2</v>
      </c>
      <c r="O39" s="152" t="s">
        <v>192</v>
      </c>
      <c r="P39" s="153">
        <f>P32+Q32+R32</f>
        <v>12</v>
      </c>
      <c r="Q39" s="153">
        <f>T32</f>
        <v>4</v>
      </c>
    </row>
    <row r="40" spans="1:20">
      <c r="A40" s="152" t="s">
        <v>193</v>
      </c>
      <c r="B40" s="153">
        <f>B33+C33+D33</f>
        <v>127</v>
      </c>
      <c r="C40" s="153">
        <f>F33</f>
        <v>2</v>
      </c>
      <c r="H40" s="152" t="s">
        <v>213</v>
      </c>
      <c r="I40" s="153">
        <f>I33+J33+K33</f>
        <v>346</v>
      </c>
      <c r="J40" s="153">
        <f>M33</f>
        <v>2</v>
      </c>
      <c r="O40" s="152" t="s">
        <v>193</v>
      </c>
      <c r="P40" s="153">
        <f>P33+Q33+R33</f>
        <v>12</v>
      </c>
      <c r="Q40" s="153">
        <f>T33</f>
        <v>4</v>
      </c>
    </row>
    <row r="42" spans="1:20" ht="15.75">
      <c r="A42" s="151" t="s">
        <v>238</v>
      </c>
    </row>
    <row r="43" spans="1:20">
      <c r="A43" s="152" t="s">
        <v>197</v>
      </c>
      <c r="B43" s="152" t="s">
        <v>214</v>
      </c>
      <c r="C43" s="154" t="s">
        <v>215</v>
      </c>
      <c r="D43" s="154" t="s">
        <v>216</v>
      </c>
      <c r="E43" s="152" t="s">
        <v>208</v>
      </c>
    </row>
    <row r="44" spans="1:20">
      <c r="A44" s="152" t="s">
        <v>217</v>
      </c>
      <c r="B44" s="155">
        <f>2*(H2+1)*$D$1</f>
        <v>1040</v>
      </c>
      <c r="C44" s="155">
        <f>2*$D$3</f>
        <v>16</v>
      </c>
      <c r="D44" s="155">
        <f>H2*H2*$D$4</f>
        <v>32768</v>
      </c>
      <c r="E44" s="156">
        <f>SUM(B44:D44)</f>
        <v>33824</v>
      </c>
      <c r="F44" s="157"/>
    </row>
    <row r="45" spans="1:20">
      <c r="A45" s="152" t="s">
        <v>218</v>
      </c>
      <c r="B45" s="155">
        <f>2*(H3+1)*$D$1</f>
        <v>528</v>
      </c>
      <c r="C45" s="155">
        <f>2*$D$3</f>
        <v>16</v>
      </c>
      <c r="D45" s="155">
        <f>H3*H3*$D$4</f>
        <v>8192</v>
      </c>
      <c r="E45" s="156">
        <f>SUM(B45:D45)</f>
        <v>8736</v>
      </c>
      <c r="F45" s="157"/>
    </row>
    <row r="46" spans="1:20">
      <c r="A46" s="152" t="s">
        <v>219</v>
      </c>
      <c r="B46" s="155">
        <f>2*(H4+1)*$D$1</f>
        <v>272</v>
      </c>
      <c r="C46" s="155">
        <f>2*$D$3</f>
        <v>16</v>
      </c>
      <c r="D46" s="155">
        <f>H4*H4*$D$4</f>
        <v>2048</v>
      </c>
      <c r="E46" s="156">
        <f>SUM(B46:D46)</f>
        <v>2336</v>
      </c>
      <c r="F46" s="157"/>
    </row>
    <row r="47" spans="1:20">
      <c r="A47" s="152" t="s">
        <v>193</v>
      </c>
      <c r="B47" s="155">
        <f>2*(H5+1)*$D$1</f>
        <v>144</v>
      </c>
      <c r="C47" s="155">
        <f>2*$D$3</f>
        <v>16</v>
      </c>
      <c r="D47" s="155">
        <f>H5*H5*$D$4</f>
        <v>512</v>
      </c>
      <c r="E47" s="156">
        <f>SUM(B47:D47)</f>
        <v>672</v>
      </c>
      <c r="F47" s="157"/>
    </row>
    <row r="49" spans="1:7" ht="15.75">
      <c r="A49" s="151" t="s">
        <v>239</v>
      </c>
    </row>
    <row r="50" spans="1:7">
      <c r="A50" s="152" t="s">
        <v>220</v>
      </c>
      <c r="B50" s="152" t="s">
        <v>214</v>
      </c>
      <c r="C50" s="154" t="s">
        <v>216</v>
      </c>
      <c r="D50" s="152" t="s">
        <v>221</v>
      </c>
    </row>
    <row r="51" spans="1:7">
      <c r="A51" s="152" t="s">
        <v>203</v>
      </c>
      <c r="B51" s="155">
        <f>2*(H2+1)*$D$1</f>
        <v>1040</v>
      </c>
      <c r="C51" s="155">
        <f>H2*H2*$D$4</f>
        <v>32768</v>
      </c>
      <c r="D51" s="156">
        <f>SUM(B51:C51)</f>
        <v>33808</v>
      </c>
      <c r="E51" s="157"/>
      <c r="F51" s="157"/>
    </row>
    <row r="52" spans="1:7">
      <c r="A52" s="152" t="s">
        <v>204</v>
      </c>
      <c r="B52" s="155">
        <f>2*(H3+1)*$D$1</f>
        <v>528</v>
      </c>
      <c r="C52" s="155">
        <f>H3*H3*$D$4</f>
        <v>8192</v>
      </c>
      <c r="D52" s="156">
        <f>SUM(B52:C52)</f>
        <v>8720</v>
      </c>
      <c r="E52" s="157"/>
      <c r="F52" s="157"/>
    </row>
    <row r="53" spans="1:7">
      <c r="A53" s="152" t="s">
        <v>192</v>
      </c>
      <c r="B53" s="155">
        <f>2*(H4+1)*$D$1</f>
        <v>272</v>
      </c>
      <c r="C53" s="155">
        <f>H4*H4*$D$4</f>
        <v>2048</v>
      </c>
      <c r="D53" s="156">
        <f>SUM(B53:C53)</f>
        <v>2320</v>
      </c>
      <c r="E53" s="157"/>
      <c r="F53" s="157"/>
    </row>
    <row r="54" spans="1:7">
      <c r="A54" s="152" t="s">
        <v>193</v>
      </c>
      <c r="B54" s="155">
        <f>2*(H5+1)*$D$1</f>
        <v>144</v>
      </c>
      <c r="C54" s="155">
        <f>H5*H5*$D$4</f>
        <v>512</v>
      </c>
      <c r="D54" s="156">
        <f>SUM(B54:C54)</f>
        <v>656</v>
      </c>
      <c r="E54" s="157"/>
      <c r="F54" s="157"/>
      <c r="G54" s="157"/>
    </row>
  </sheetData>
  <phoneticPr fontId="1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85" zoomScaleNormal="85" zoomScalePageLayoutView="70" workbookViewId="0">
      <selection activeCell="M40" sqref="M40"/>
    </sheetView>
  </sheetViews>
  <sheetFormatPr defaultColWidth="10.140625" defaultRowHeight="15.75"/>
  <cols>
    <col min="1" max="1" width="17.85546875" style="169" customWidth="1"/>
    <col min="2" max="4" width="10.140625" style="169"/>
    <col min="5" max="5" width="10.28515625" style="169" customWidth="1"/>
    <col min="6" max="6" width="10.140625" style="169"/>
    <col min="7" max="9" width="10.28515625" style="169" customWidth="1"/>
    <col min="10" max="16384" width="10.140625" style="169"/>
  </cols>
  <sheetData>
    <row r="1" spans="1:25">
      <c r="A1" s="168" t="s">
        <v>260</v>
      </c>
      <c r="B1" s="168" t="s">
        <v>278</v>
      </c>
      <c r="D1" s="170" t="s">
        <v>279</v>
      </c>
      <c r="F1" s="170">
        <v>8</v>
      </c>
    </row>
    <row r="2" spans="1:25">
      <c r="A2" s="171" t="s">
        <v>261</v>
      </c>
      <c r="B2" s="171" t="s">
        <v>262</v>
      </c>
      <c r="C2" s="171" t="s">
        <v>263</v>
      </c>
    </row>
    <row r="3" spans="1:25">
      <c r="A3" s="171" t="s">
        <v>264</v>
      </c>
      <c r="B3" s="171">
        <v>64</v>
      </c>
      <c r="C3" s="171">
        <v>64</v>
      </c>
    </row>
    <row r="4" spans="1:25">
      <c r="A4" s="171" t="s">
        <v>265</v>
      </c>
      <c r="B4" s="171">
        <v>32</v>
      </c>
      <c r="C4" s="171">
        <v>32</v>
      </c>
    </row>
    <row r="5" spans="1:25">
      <c r="A5" s="171" t="s">
        <v>266</v>
      </c>
      <c r="B5" s="171">
        <v>16</v>
      </c>
      <c r="C5" s="171">
        <v>16</v>
      </c>
    </row>
    <row r="6" spans="1:25">
      <c r="A6" s="171" t="s">
        <v>267</v>
      </c>
      <c r="B6" s="171">
        <v>8</v>
      </c>
      <c r="C6" s="171">
        <v>8</v>
      </c>
    </row>
    <row r="8" spans="1:25">
      <c r="A8" s="172" t="s">
        <v>270</v>
      </c>
    </row>
    <row r="9" spans="1:25">
      <c r="A9" s="177"/>
      <c r="B9" s="355" t="s">
        <v>280</v>
      </c>
      <c r="C9" s="356"/>
      <c r="D9" s="356"/>
      <c r="E9" s="356"/>
      <c r="F9" s="356"/>
      <c r="G9" s="356"/>
      <c r="H9" s="356"/>
      <c r="I9" s="357"/>
      <c r="J9" s="355" t="s">
        <v>281</v>
      </c>
      <c r="K9" s="356"/>
      <c r="L9" s="356"/>
      <c r="M9" s="356"/>
      <c r="N9" s="356"/>
      <c r="O9" s="356"/>
      <c r="P9" s="356"/>
      <c r="Q9" s="357"/>
      <c r="R9" s="358" t="s">
        <v>271</v>
      </c>
      <c r="S9" s="359"/>
      <c r="T9" s="359"/>
      <c r="U9" s="359"/>
      <c r="V9" s="359"/>
      <c r="W9" s="359"/>
      <c r="X9" s="359"/>
      <c r="Y9" s="360"/>
    </row>
    <row r="10" spans="1:25">
      <c r="A10" s="177"/>
      <c r="B10" s="361" t="s">
        <v>268</v>
      </c>
      <c r="C10" s="361"/>
      <c r="D10" s="361"/>
      <c r="E10" s="361"/>
      <c r="F10" s="361"/>
      <c r="G10" s="361"/>
      <c r="H10" s="361" t="s">
        <v>269</v>
      </c>
      <c r="I10" s="361"/>
      <c r="J10" s="361" t="s">
        <v>282</v>
      </c>
      <c r="K10" s="361"/>
      <c r="L10" s="361"/>
      <c r="M10" s="361"/>
      <c r="N10" s="361"/>
      <c r="O10" s="361"/>
      <c r="P10" s="361" t="s">
        <v>283</v>
      </c>
      <c r="Q10" s="361"/>
      <c r="R10" s="358" t="s">
        <v>268</v>
      </c>
      <c r="S10" s="359"/>
      <c r="T10" s="359"/>
      <c r="U10" s="360"/>
      <c r="V10" s="358" t="s">
        <v>269</v>
      </c>
      <c r="W10" s="359"/>
      <c r="X10" s="359"/>
      <c r="Y10" s="360"/>
    </row>
    <row r="11" spans="1:25">
      <c r="A11" s="173"/>
      <c r="B11" s="368" t="s">
        <v>284</v>
      </c>
      <c r="C11" s="369"/>
      <c r="D11" s="369"/>
      <c r="E11" s="370"/>
      <c r="F11" s="368" t="s">
        <v>285</v>
      </c>
      <c r="G11" s="370"/>
      <c r="H11" s="371" t="s">
        <v>286</v>
      </c>
      <c r="I11" s="372"/>
      <c r="J11" s="368" t="s">
        <v>287</v>
      </c>
      <c r="K11" s="369"/>
      <c r="L11" s="369"/>
      <c r="M11" s="370"/>
      <c r="N11" s="371" t="s">
        <v>285</v>
      </c>
      <c r="O11" s="372"/>
      <c r="P11" s="371" t="s">
        <v>288</v>
      </c>
      <c r="Q11" s="372"/>
      <c r="R11" s="362"/>
      <c r="S11" s="363"/>
      <c r="T11" s="363"/>
      <c r="U11" s="364"/>
      <c r="V11" s="362"/>
      <c r="W11" s="363"/>
      <c r="X11" s="363"/>
      <c r="Y11" s="364"/>
    </row>
    <row r="12" spans="1:25">
      <c r="A12" s="174" t="s">
        <v>261</v>
      </c>
      <c r="B12" s="175" t="s">
        <v>289</v>
      </c>
      <c r="C12" s="175" t="s">
        <v>290</v>
      </c>
      <c r="D12" s="175" t="s">
        <v>273</v>
      </c>
      <c r="E12" s="175" t="s">
        <v>274</v>
      </c>
      <c r="F12" s="175" t="s">
        <v>289</v>
      </c>
      <c r="G12" s="175" t="s">
        <v>273</v>
      </c>
      <c r="H12" s="175" t="s">
        <v>289</v>
      </c>
      <c r="I12" s="175" t="s">
        <v>275</v>
      </c>
      <c r="J12" s="175" t="s">
        <v>289</v>
      </c>
      <c r="K12" s="175" t="s">
        <v>290</v>
      </c>
      <c r="L12" s="175" t="s">
        <v>273</v>
      </c>
      <c r="M12" s="175" t="s">
        <v>274</v>
      </c>
      <c r="N12" s="175" t="s">
        <v>289</v>
      </c>
      <c r="O12" s="175" t="s">
        <v>273</v>
      </c>
      <c r="P12" s="175" t="s">
        <v>289</v>
      </c>
      <c r="Q12" s="175" t="s">
        <v>275</v>
      </c>
      <c r="R12" s="175" t="s">
        <v>272</v>
      </c>
      <c r="S12" s="175" t="s">
        <v>273</v>
      </c>
      <c r="T12" s="175" t="s">
        <v>274</v>
      </c>
      <c r="U12" s="175" t="s">
        <v>275</v>
      </c>
      <c r="V12" s="175" t="s">
        <v>272</v>
      </c>
      <c r="W12" s="175" t="s">
        <v>273</v>
      </c>
      <c r="X12" s="175" t="s">
        <v>274</v>
      </c>
      <c r="Y12" s="175" t="s">
        <v>275</v>
      </c>
    </row>
    <row r="13" spans="1:25">
      <c r="A13" s="175" t="s">
        <v>264</v>
      </c>
      <c r="B13" s="176">
        <f>4*($B3-1)</f>
        <v>252</v>
      </c>
      <c r="C13" s="176">
        <v>3</v>
      </c>
      <c r="D13" s="176">
        <f>2*$B3+3</f>
        <v>131</v>
      </c>
      <c r="E13" s="176">
        <v>1</v>
      </c>
      <c r="F13" s="176">
        <f>B3*C3</f>
        <v>4096</v>
      </c>
      <c r="G13" s="176">
        <f>B3*C3</f>
        <v>4096</v>
      </c>
      <c r="H13" s="176">
        <f t="shared" ref="H13:I16" si="0">$B3*$C3</f>
        <v>4096</v>
      </c>
      <c r="I13" s="176">
        <f t="shared" si="0"/>
        <v>4096</v>
      </c>
      <c r="J13" s="176">
        <f>(4*($B3/2)-4)*2</f>
        <v>248</v>
      </c>
      <c r="K13" s="176">
        <v>3</v>
      </c>
      <c r="L13" s="176">
        <f>(2*($B3/2)+3)*2</f>
        <v>134</v>
      </c>
      <c r="M13" s="176">
        <f>1*2</f>
        <v>2</v>
      </c>
      <c r="N13" s="176">
        <f t="shared" ref="N13:O15" si="1">(($B3/2)*($C3/2))*2</f>
        <v>2048</v>
      </c>
      <c r="O13" s="176">
        <f t="shared" si="1"/>
        <v>2048</v>
      </c>
      <c r="P13" s="176">
        <f t="shared" ref="P13:Q15" si="2">($B3/2)*($C3/2)*2</f>
        <v>2048</v>
      </c>
      <c r="Q13" s="176">
        <f t="shared" si="2"/>
        <v>2048</v>
      </c>
      <c r="R13" s="176">
        <f>SUM(B13,F13,J13,N13)+SUM(C13,K13)</f>
        <v>6650</v>
      </c>
      <c r="S13" s="176">
        <f>SUM(D13,G13,L13,O13)</f>
        <v>6409</v>
      </c>
      <c r="T13" s="176">
        <f>SUM(E13,M13)</f>
        <v>3</v>
      </c>
      <c r="U13" s="176" t="s">
        <v>291</v>
      </c>
      <c r="V13" s="176">
        <f>2*SUM(B13,F13,J13,N13)+SUM(H13)+2*SUM(C13,K13)+SUM(P13)</f>
        <v>19444</v>
      </c>
      <c r="W13" s="176">
        <f>2*SUM(D13,G13,L13,O13)</f>
        <v>12818</v>
      </c>
      <c r="X13" s="176">
        <f>2*SUM(E13,M13)</f>
        <v>6</v>
      </c>
      <c r="Y13" s="176">
        <f>SUM(I13,Q13)</f>
        <v>6144</v>
      </c>
    </row>
    <row r="14" spans="1:25">
      <c r="A14" s="175" t="s">
        <v>265</v>
      </c>
      <c r="B14" s="176">
        <f>4*($B4-1)</f>
        <v>124</v>
      </c>
      <c r="C14" s="176">
        <v>3</v>
      </c>
      <c r="D14" s="176">
        <f>2*$B4+3</f>
        <v>67</v>
      </c>
      <c r="E14" s="176">
        <v>1</v>
      </c>
      <c r="F14" s="176">
        <f>B4*C4</f>
        <v>1024</v>
      </c>
      <c r="G14" s="176">
        <f>B4*C4</f>
        <v>1024</v>
      </c>
      <c r="H14" s="176">
        <f t="shared" si="0"/>
        <v>1024</v>
      </c>
      <c r="I14" s="176">
        <f t="shared" si="0"/>
        <v>1024</v>
      </c>
      <c r="J14" s="176">
        <f>(4*($B4/2)-4)*2</f>
        <v>120</v>
      </c>
      <c r="K14" s="176">
        <v>3</v>
      </c>
      <c r="L14" s="176">
        <f>(2*($B4/2)+3)*2</f>
        <v>70</v>
      </c>
      <c r="M14" s="176">
        <f t="shared" ref="M14:M15" si="3">1*2</f>
        <v>2</v>
      </c>
      <c r="N14" s="176">
        <f t="shared" si="1"/>
        <v>512</v>
      </c>
      <c r="O14" s="176">
        <f t="shared" si="1"/>
        <v>512</v>
      </c>
      <c r="P14" s="176">
        <f t="shared" si="2"/>
        <v>512</v>
      </c>
      <c r="Q14" s="176">
        <f t="shared" si="2"/>
        <v>512</v>
      </c>
      <c r="R14" s="176">
        <f t="shared" ref="R14:R16" si="4">SUM(B14,F14,J14,N14)+SUM(C14,K14)</f>
        <v>1786</v>
      </c>
      <c r="S14" s="176">
        <f t="shared" ref="S14:S16" si="5">SUM(D14,G14,L14,O14)</f>
        <v>1673</v>
      </c>
      <c r="T14" s="176">
        <f t="shared" ref="T14:T16" si="6">SUM(E14,M14)</f>
        <v>3</v>
      </c>
      <c r="U14" s="176" t="s">
        <v>291</v>
      </c>
      <c r="V14" s="176">
        <f t="shared" ref="V14:V16" si="7">2*SUM(B14,F14,J14,N14)+SUM(H14)+2*SUM(C14,K14)+SUM(P14)</f>
        <v>5108</v>
      </c>
      <c r="W14" s="176">
        <f t="shared" ref="W14:W16" si="8">2*SUM(D14,G14,L14,O14)</f>
        <v>3346</v>
      </c>
      <c r="X14" s="176">
        <f t="shared" ref="X14:X16" si="9">2*SUM(E14,M14)</f>
        <v>6</v>
      </c>
      <c r="Y14" s="176">
        <f t="shared" ref="Y14:Y16" si="10">SUM(I14,Q14)</f>
        <v>1536</v>
      </c>
    </row>
    <row r="15" spans="1:25">
      <c r="A15" s="175" t="s">
        <v>266</v>
      </c>
      <c r="B15" s="176">
        <f>4*($B5-1)</f>
        <v>60</v>
      </c>
      <c r="C15" s="176">
        <v>3</v>
      </c>
      <c r="D15" s="176">
        <f>2*$B5+3</f>
        <v>35</v>
      </c>
      <c r="E15" s="176">
        <v>1</v>
      </c>
      <c r="F15" s="176">
        <f>B5*C5</f>
        <v>256</v>
      </c>
      <c r="G15" s="176">
        <f>B5*C5</f>
        <v>256</v>
      </c>
      <c r="H15" s="176">
        <f t="shared" si="0"/>
        <v>256</v>
      </c>
      <c r="I15" s="176">
        <f t="shared" si="0"/>
        <v>256</v>
      </c>
      <c r="J15" s="176">
        <f>(4*($B5/2)-4)*2</f>
        <v>56</v>
      </c>
      <c r="K15" s="176">
        <v>3</v>
      </c>
      <c r="L15" s="176">
        <f>(2*($B5/2)+3)*2</f>
        <v>38</v>
      </c>
      <c r="M15" s="176">
        <f t="shared" si="3"/>
        <v>2</v>
      </c>
      <c r="N15" s="176">
        <f t="shared" si="1"/>
        <v>128</v>
      </c>
      <c r="O15" s="176">
        <f t="shared" si="1"/>
        <v>128</v>
      </c>
      <c r="P15" s="176">
        <f t="shared" si="2"/>
        <v>128</v>
      </c>
      <c r="Q15" s="176">
        <f t="shared" si="2"/>
        <v>128</v>
      </c>
      <c r="R15" s="176">
        <f t="shared" si="4"/>
        <v>506</v>
      </c>
      <c r="S15" s="176">
        <f t="shared" si="5"/>
        <v>457</v>
      </c>
      <c r="T15" s="176">
        <f t="shared" si="6"/>
        <v>3</v>
      </c>
      <c r="U15" s="176" t="s">
        <v>291</v>
      </c>
      <c r="V15" s="176">
        <f t="shared" si="7"/>
        <v>1396</v>
      </c>
      <c r="W15" s="176">
        <f t="shared" si="8"/>
        <v>914</v>
      </c>
      <c r="X15" s="176">
        <f t="shared" si="9"/>
        <v>6</v>
      </c>
      <c r="Y15" s="176">
        <f t="shared" si="10"/>
        <v>384</v>
      </c>
    </row>
    <row r="16" spans="1:25">
      <c r="A16" s="175" t="s">
        <v>267</v>
      </c>
      <c r="B16" s="176">
        <f>4*($B6-1)</f>
        <v>28</v>
      </c>
      <c r="C16" s="176">
        <v>3</v>
      </c>
      <c r="D16" s="176">
        <f>2*$B6+3</f>
        <v>19</v>
      </c>
      <c r="E16" s="176">
        <v>1</v>
      </c>
      <c r="F16" s="176">
        <f>B6*C6</f>
        <v>64</v>
      </c>
      <c r="G16" s="176">
        <f>B6*C6</f>
        <v>64</v>
      </c>
      <c r="H16" s="176">
        <f t="shared" si="0"/>
        <v>64</v>
      </c>
      <c r="I16" s="176">
        <f t="shared" si="0"/>
        <v>64</v>
      </c>
      <c r="J16" s="176" t="s">
        <v>291</v>
      </c>
      <c r="K16" s="176" t="s">
        <v>291</v>
      </c>
      <c r="L16" s="176" t="s">
        <v>291</v>
      </c>
      <c r="M16" s="176" t="s">
        <v>291</v>
      </c>
      <c r="N16" s="176" t="s">
        <v>291</v>
      </c>
      <c r="O16" s="176" t="s">
        <v>291</v>
      </c>
      <c r="P16" s="176" t="s">
        <v>291</v>
      </c>
      <c r="Q16" s="176" t="s">
        <v>291</v>
      </c>
      <c r="R16" s="176">
        <f t="shared" si="4"/>
        <v>95</v>
      </c>
      <c r="S16" s="176">
        <f t="shared" si="5"/>
        <v>83</v>
      </c>
      <c r="T16" s="176">
        <f t="shared" si="6"/>
        <v>1</v>
      </c>
      <c r="U16" s="176" t="s">
        <v>291</v>
      </c>
      <c r="V16" s="176">
        <f t="shared" si="7"/>
        <v>254</v>
      </c>
      <c r="W16" s="176">
        <f t="shared" si="8"/>
        <v>166</v>
      </c>
      <c r="X16" s="176">
        <f t="shared" si="9"/>
        <v>2</v>
      </c>
      <c r="Y16" s="176">
        <f t="shared" si="10"/>
        <v>64</v>
      </c>
    </row>
    <row r="18" spans="1:11">
      <c r="A18" s="172" t="s">
        <v>276</v>
      </c>
    </row>
    <row r="19" spans="1:11">
      <c r="A19" s="178"/>
      <c r="B19" s="365" t="s">
        <v>280</v>
      </c>
      <c r="C19" s="366"/>
      <c r="D19" s="367"/>
      <c r="E19" s="179" t="s">
        <v>271</v>
      </c>
      <c r="F19" s="179" t="s">
        <v>271</v>
      </c>
    </row>
    <row r="20" spans="1:11">
      <c r="A20" s="175" t="s">
        <v>261</v>
      </c>
      <c r="B20" s="180" t="s">
        <v>292</v>
      </c>
      <c r="C20" s="180" t="s">
        <v>293</v>
      </c>
      <c r="D20" s="180" t="s">
        <v>294</v>
      </c>
      <c r="E20" s="181" t="s">
        <v>295</v>
      </c>
      <c r="F20" s="181" t="s">
        <v>296</v>
      </c>
    </row>
    <row r="21" spans="1:11">
      <c r="A21" s="175" t="s">
        <v>264</v>
      </c>
      <c r="B21" s="176">
        <f t="shared" ref="B21:C24" si="11">(($B3/2)+($C3/2))*$F$1</f>
        <v>512</v>
      </c>
      <c r="C21" s="176">
        <f t="shared" si="11"/>
        <v>512</v>
      </c>
      <c r="D21" s="176">
        <f>$B3*$C3*$F$1</f>
        <v>32768</v>
      </c>
      <c r="E21" s="182">
        <f>SUM(B21:D21)</f>
        <v>33792</v>
      </c>
      <c r="F21" s="182">
        <f>SUM(B21)+2*SUM(C21)+2*SUM(D21)</f>
        <v>67072</v>
      </c>
    </row>
    <row r="22" spans="1:11">
      <c r="A22" s="175" t="s">
        <v>265</v>
      </c>
      <c r="B22" s="176">
        <f t="shared" si="11"/>
        <v>256</v>
      </c>
      <c r="C22" s="176">
        <f t="shared" si="11"/>
        <v>256</v>
      </c>
      <c r="D22" s="176">
        <f>$B4*$C4*$F$1</f>
        <v>8192</v>
      </c>
      <c r="E22" s="182">
        <f>SUM(B22:D22)</f>
        <v>8704</v>
      </c>
      <c r="F22" s="182">
        <f t="shared" ref="F22:F24" si="12">SUM(B22)+2*SUM(C22)+2*SUM(D22)</f>
        <v>17152</v>
      </c>
    </row>
    <row r="23" spans="1:11">
      <c r="A23" s="175" t="s">
        <v>266</v>
      </c>
      <c r="B23" s="176">
        <f t="shared" si="11"/>
        <v>128</v>
      </c>
      <c r="C23" s="176">
        <f t="shared" si="11"/>
        <v>128</v>
      </c>
      <c r="D23" s="176">
        <f>$B5*$C5*$F$1</f>
        <v>2048</v>
      </c>
      <c r="E23" s="182">
        <f>SUM(B23:D23)</f>
        <v>2304</v>
      </c>
      <c r="F23" s="182">
        <f t="shared" si="12"/>
        <v>4480</v>
      </c>
    </row>
    <row r="24" spans="1:11">
      <c r="A24" s="175" t="s">
        <v>267</v>
      </c>
      <c r="B24" s="176">
        <f t="shared" si="11"/>
        <v>64</v>
      </c>
      <c r="C24" s="176">
        <f t="shared" si="11"/>
        <v>64</v>
      </c>
      <c r="D24" s="176">
        <f>$B6*$C6*$F$1</f>
        <v>512</v>
      </c>
      <c r="E24" s="182">
        <f>SUM(B24:D24)</f>
        <v>640</v>
      </c>
      <c r="F24" s="182">
        <f t="shared" si="12"/>
        <v>1216</v>
      </c>
    </row>
    <row r="26" spans="1:11">
      <c r="A26" s="172" t="s">
        <v>277</v>
      </c>
    </row>
    <row r="27" spans="1:11">
      <c r="A27" s="178"/>
      <c r="B27" s="183" t="s">
        <v>280</v>
      </c>
      <c r="C27" s="184"/>
      <c r="D27" s="184"/>
      <c r="E27" s="184"/>
      <c r="F27" s="183" t="s">
        <v>281</v>
      </c>
      <c r="G27" s="184"/>
      <c r="H27" s="184"/>
      <c r="I27" s="184"/>
      <c r="J27" s="179" t="s">
        <v>271</v>
      </c>
      <c r="K27" s="179" t="s">
        <v>297</v>
      </c>
    </row>
    <row r="28" spans="1:11">
      <c r="A28" s="175" t="s">
        <v>261</v>
      </c>
      <c r="B28" s="180" t="s">
        <v>292</v>
      </c>
      <c r="C28" s="180" t="s">
        <v>293</v>
      </c>
      <c r="D28" s="180" t="s">
        <v>294</v>
      </c>
      <c r="E28" s="180" t="s">
        <v>298</v>
      </c>
      <c r="F28" s="180" t="s">
        <v>292</v>
      </c>
      <c r="G28" s="180" t="s">
        <v>293</v>
      </c>
      <c r="H28" s="180" t="s">
        <v>294</v>
      </c>
      <c r="I28" s="180" t="s">
        <v>298</v>
      </c>
      <c r="J28" s="181" t="s">
        <v>295</v>
      </c>
      <c r="K28" s="181" t="s">
        <v>269</v>
      </c>
    </row>
    <row r="29" spans="1:11">
      <c r="A29" s="175" t="s">
        <v>264</v>
      </c>
      <c r="B29" s="176">
        <f t="shared" ref="B29:C32" si="13">(($B3/2)+($C3/2))*$F$1</f>
        <v>512</v>
      </c>
      <c r="C29" s="176">
        <f t="shared" si="13"/>
        <v>512</v>
      </c>
      <c r="D29" s="176">
        <f t="shared" ref="D29:E32" si="14">$B3*$C3*$F$1</f>
        <v>32768</v>
      </c>
      <c r="E29" s="176">
        <f t="shared" si="14"/>
        <v>32768</v>
      </c>
      <c r="F29" s="176">
        <f t="shared" ref="F29:G31" si="15">(($B3/2/2)+($C3/2/2))*2*$F$1</f>
        <v>512</v>
      </c>
      <c r="G29" s="176">
        <f t="shared" si="15"/>
        <v>512</v>
      </c>
      <c r="H29" s="176">
        <f t="shared" ref="H29:I31" si="16">(($B3/2)*($C3/2))*2*$F$1</f>
        <v>16384</v>
      </c>
      <c r="I29" s="176">
        <f t="shared" si="16"/>
        <v>16384</v>
      </c>
      <c r="J29" s="182">
        <f>SUM(B29:I29)</f>
        <v>100352</v>
      </c>
      <c r="K29" s="182">
        <f>SUM(B29)+2*SUM(C29:D29)+SUM(E29)+SUM(F29)+2*SUM(G29:H29)+SUM(I29)</f>
        <v>150528</v>
      </c>
    </row>
    <row r="30" spans="1:11">
      <c r="A30" s="175" t="s">
        <v>265</v>
      </c>
      <c r="B30" s="176">
        <f t="shared" si="13"/>
        <v>256</v>
      </c>
      <c r="C30" s="176">
        <f t="shared" si="13"/>
        <v>256</v>
      </c>
      <c r="D30" s="176">
        <f t="shared" si="14"/>
        <v>8192</v>
      </c>
      <c r="E30" s="176">
        <f t="shared" si="14"/>
        <v>8192</v>
      </c>
      <c r="F30" s="176">
        <f t="shared" si="15"/>
        <v>256</v>
      </c>
      <c r="G30" s="176">
        <f t="shared" si="15"/>
        <v>256</v>
      </c>
      <c r="H30" s="176">
        <f t="shared" si="16"/>
        <v>4096</v>
      </c>
      <c r="I30" s="176">
        <f t="shared" si="16"/>
        <v>4096</v>
      </c>
      <c r="J30" s="182">
        <f t="shared" ref="J30:J32" si="17">SUM(B30:I30)</f>
        <v>25600</v>
      </c>
      <c r="K30" s="182">
        <f t="shared" ref="K30:K32" si="18">SUM(B30)+2*SUM(C30:D30)+SUM(E30)+SUM(F30)+2*SUM(G30:H30)+SUM(I30)</f>
        <v>38400</v>
      </c>
    </row>
    <row r="31" spans="1:11">
      <c r="A31" s="175" t="s">
        <v>266</v>
      </c>
      <c r="B31" s="176">
        <f t="shared" si="13"/>
        <v>128</v>
      </c>
      <c r="C31" s="176">
        <f t="shared" si="13"/>
        <v>128</v>
      </c>
      <c r="D31" s="176">
        <f t="shared" si="14"/>
        <v>2048</v>
      </c>
      <c r="E31" s="176">
        <f t="shared" si="14"/>
        <v>2048</v>
      </c>
      <c r="F31" s="176">
        <f t="shared" si="15"/>
        <v>128</v>
      </c>
      <c r="G31" s="176">
        <f t="shared" si="15"/>
        <v>128</v>
      </c>
      <c r="H31" s="176">
        <f t="shared" si="16"/>
        <v>1024</v>
      </c>
      <c r="I31" s="176">
        <f t="shared" si="16"/>
        <v>1024</v>
      </c>
      <c r="J31" s="182">
        <f t="shared" si="17"/>
        <v>6656</v>
      </c>
      <c r="K31" s="182">
        <f t="shared" si="18"/>
        <v>9984</v>
      </c>
    </row>
    <row r="32" spans="1:11">
      <c r="A32" s="175" t="s">
        <v>267</v>
      </c>
      <c r="B32" s="176">
        <f t="shared" si="13"/>
        <v>64</v>
      </c>
      <c r="C32" s="176">
        <f t="shared" si="13"/>
        <v>64</v>
      </c>
      <c r="D32" s="176">
        <f t="shared" si="14"/>
        <v>512</v>
      </c>
      <c r="E32" s="176">
        <f t="shared" si="14"/>
        <v>512</v>
      </c>
      <c r="F32" s="176" t="s">
        <v>291</v>
      </c>
      <c r="G32" s="176" t="s">
        <v>291</v>
      </c>
      <c r="H32" s="176" t="s">
        <v>291</v>
      </c>
      <c r="I32" s="176" t="s">
        <v>299</v>
      </c>
      <c r="J32" s="182">
        <f t="shared" si="17"/>
        <v>1152</v>
      </c>
      <c r="K32" s="182">
        <f t="shared" si="18"/>
        <v>1728</v>
      </c>
    </row>
  </sheetData>
  <mergeCells count="18">
    <mergeCell ref="R11:U11"/>
    <mergeCell ref="V11:Y11"/>
    <mergeCell ref="B19:D19"/>
    <mergeCell ref="B11:E11"/>
    <mergeCell ref="F11:G11"/>
    <mergeCell ref="H11:I11"/>
    <mergeCell ref="J11:M11"/>
    <mergeCell ref="N11:O11"/>
    <mergeCell ref="P11:Q11"/>
    <mergeCell ref="B9:I9"/>
    <mergeCell ref="J9:Q9"/>
    <mergeCell ref="R9:Y9"/>
    <mergeCell ref="B10:G10"/>
    <mergeCell ref="H10:I10"/>
    <mergeCell ref="J10:O10"/>
    <mergeCell ref="P10:Q10"/>
    <mergeCell ref="R10:U10"/>
    <mergeCell ref="V10:Y10"/>
  </mergeCells>
  <phoneticPr fontId="14" type="noConversion"/>
  <pageMargins left="0.7" right="0.7" top="0.75" bottom="0.75" header="0.3" footer="0.3"/>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2"/>
  <sheetViews>
    <sheetView zoomScale="85" zoomScaleNormal="85" zoomScalePageLayoutView="70" workbookViewId="0">
      <selection activeCell="K38" sqref="K38"/>
    </sheetView>
  </sheetViews>
  <sheetFormatPr defaultColWidth="10.140625" defaultRowHeight="15.75"/>
  <cols>
    <col min="1" max="1" width="17.85546875" style="169" customWidth="1"/>
    <col min="2" max="4" width="10.140625" style="169"/>
    <col min="5" max="5" width="10.28515625" style="169" customWidth="1"/>
    <col min="6" max="6" width="10.140625" style="169"/>
    <col min="7" max="9" width="10.28515625" style="169" customWidth="1"/>
    <col min="10" max="16384" width="10.140625" style="169"/>
  </cols>
  <sheetData>
    <row r="1" spans="1:31">
      <c r="A1" s="168" t="s">
        <v>260</v>
      </c>
      <c r="B1" s="168" t="s">
        <v>278</v>
      </c>
      <c r="D1" s="170" t="s">
        <v>300</v>
      </c>
      <c r="F1" s="170">
        <v>8</v>
      </c>
      <c r="H1" s="169" t="s">
        <v>301</v>
      </c>
      <c r="K1" s="169">
        <v>8</v>
      </c>
    </row>
    <row r="2" spans="1:31">
      <c r="A2" s="171" t="s">
        <v>261</v>
      </c>
      <c r="B2" s="171" t="s">
        <v>262</v>
      </c>
      <c r="C2" s="171" t="s">
        <v>263</v>
      </c>
      <c r="H2" s="169" t="s">
        <v>302</v>
      </c>
      <c r="K2" s="169">
        <v>4</v>
      </c>
    </row>
    <row r="3" spans="1:31">
      <c r="A3" s="171" t="s">
        <v>264</v>
      </c>
      <c r="B3" s="171">
        <v>64</v>
      </c>
      <c r="C3" s="171">
        <v>64</v>
      </c>
    </row>
    <row r="4" spans="1:31">
      <c r="A4" s="171" t="s">
        <v>265</v>
      </c>
      <c r="B4" s="171">
        <v>32</v>
      </c>
      <c r="C4" s="171">
        <v>32</v>
      </c>
    </row>
    <row r="5" spans="1:31">
      <c r="A5" s="171" t="s">
        <v>266</v>
      </c>
      <c r="B5" s="171">
        <v>16</v>
      </c>
      <c r="C5" s="171">
        <v>16</v>
      </c>
    </row>
    <row r="6" spans="1:31">
      <c r="A6" s="171" t="s">
        <v>267</v>
      </c>
      <c r="B6" s="171">
        <v>8</v>
      </c>
      <c r="C6" s="171">
        <v>8</v>
      </c>
    </row>
    <row r="8" spans="1:31">
      <c r="A8" s="172" t="s">
        <v>270</v>
      </c>
    </row>
    <row r="9" spans="1:31">
      <c r="A9" s="177"/>
      <c r="B9" s="373" t="s">
        <v>280</v>
      </c>
      <c r="C9" s="374"/>
      <c r="D9" s="374"/>
      <c r="E9" s="374"/>
      <c r="F9" s="374"/>
      <c r="G9" s="374"/>
      <c r="H9" s="374"/>
      <c r="I9" s="374"/>
      <c r="J9" s="374"/>
      <c r="K9" s="374"/>
      <c r="L9" s="375"/>
      <c r="M9" s="183" t="s">
        <v>303</v>
      </c>
      <c r="N9" s="184"/>
      <c r="O9" s="184"/>
      <c r="P9" s="184"/>
      <c r="Q9" s="184"/>
      <c r="R9" s="184"/>
      <c r="S9" s="184"/>
      <c r="T9" s="184"/>
      <c r="U9" s="184"/>
      <c r="V9" s="184"/>
      <c r="W9" s="185"/>
      <c r="X9" s="186" t="s">
        <v>271</v>
      </c>
      <c r="Y9" s="187"/>
      <c r="Z9" s="187"/>
      <c r="AA9" s="187"/>
      <c r="AB9" s="187"/>
      <c r="AC9" s="187"/>
      <c r="AD9" s="187"/>
      <c r="AE9" s="188"/>
    </row>
    <row r="10" spans="1:31">
      <c r="A10" s="177"/>
      <c r="B10" s="376" t="s">
        <v>315</v>
      </c>
      <c r="C10" s="377"/>
      <c r="D10" s="377"/>
      <c r="E10" s="377"/>
      <c r="F10" s="377"/>
      <c r="G10" s="377"/>
      <c r="H10" s="377"/>
      <c r="I10" s="377"/>
      <c r="J10" s="378"/>
      <c r="K10" s="179" t="s">
        <v>304</v>
      </c>
      <c r="L10" s="179"/>
      <c r="M10" s="376" t="s">
        <v>268</v>
      </c>
      <c r="N10" s="377"/>
      <c r="O10" s="377"/>
      <c r="P10" s="377"/>
      <c r="Q10" s="377"/>
      <c r="R10" s="377"/>
      <c r="S10" s="377"/>
      <c r="T10" s="377"/>
      <c r="U10" s="378"/>
      <c r="V10" s="179" t="s">
        <v>269</v>
      </c>
      <c r="W10" s="179"/>
      <c r="X10" s="186" t="s">
        <v>268</v>
      </c>
      <c r="Y10" s="187"/>
      <c r="Z10" s="187"/>
      <c r="AA10" s="188"/>
      <c r="AB10" s="186" t="s">
        <v>304</v>
      </c>
      <c r="AC10" s="187"/>
      <c r="AD10" s="187"/>
      <c r="AE10" s="188"/>
    </row>
    <row r="11" spans="1:31">
      <c r="A11" s="173"/>
      <c r="B11" s="189" t="s">
        <v>305</v>
      </c>
      <c r="C11" s="190"/>
      <c r="D11" s="190"/>
      <c r="E11" s="191" t="s">
        <v>306</v>
      </c>
      <c r="F11" s="189"/>
      <c r="G11" s="189"/>
      <c r="H11" s="192"/>
      <c r="I11" s="191" t="s">
        <v>285</v>
      </c>
      <c r="J11" s="192"/>
      <c r="K11" s="181" t="s">
        <v>288</v>
      </c>
      <c r="L11" s="193"/>
      <c r="M11" s="189" t="s">
        <v>305</v>
      </c>
      <c r="N11" s="189"/>
      <c r="O11" s="189"/>
      <c r="P11" s="191" t="s">
        <v>306</v>
      </c>
      <c r="Q11" s="189"/>
      <c r="R11" s="189"/>
      <c r="S11" s="192"/>
      <c r="T11" s="181" t="s">
        <v>285</v>
      </c>
      <c r="U11" s="193"/>
      <c r="V11" s="181" t="s">
        <v>288</v>
      </c>
      <c r="W11" s="193"/>
      <c r="X11" s="181"/>
      <c r="Y11" s="194"/>
      <c r="Z11" s="194"/>
      <c r="AA11" s="193"/>
      <c r="AB11" s="181"/>
      <c r="AC11" s="194"/>
      <c r="AD11" s="194"/>
      <c r="AE11" s="193"/>
    </row>
    <row r="12" spans="1:31">
      <c r="A12" s="174" t="s">
        <v>261</v>
      </c>
      <c r="B12" s="174" t="s">
        <v>289</v>
      </c>
      <c r="C12" s="174" t="s">
        <v>307</v>
      </c>
      <c r="D12" s="174" t="s">
        <v>308</v>
      </c>
      <c r="E12" s="175" t="s">
        <v>289</v>
      </c>
      <c r="F12" s="175" t="s">
        <v>309</v>
      </c>
      <c r="G12" s="175" t="s">
        <v>310</v>
      </c>
      <c r="H12" s="175" t="s">
        <v>311</v>
      </c>
      <c r="I12" s="175" t="s">
        <v>312</v>
      </c>
      <c r="J12" s="175" t="s">
        <v>273</v>
      </c>
      <c r="K12" s="175" t="s">
        <v>289</v>
      </c>
      <c r="L12" s="175" t="s">
        <v>275</v>
      </c>
      <c r="M12" s="175" t="s">
        <v>312</v>
      </c>
      <c r="N12" s="175" t="s">
        <v>307</v>
      </c>
      <c r="O12" s="175" t="s">
        <v>275</v>
      </c>
      <c r="P12" s="175" t="s">
        <v>312</v>
      </c>
      <c r="Q12" s="175" t="s">
        <v>309</v>
      </c>
      <c r="R12" s="175" t="s">
        <v>310</v>
      </c>
      <c r="S12" s="175" t="s">
        <v>274</v>
      </c>
      <c r="T12" s="175" t="s">
        <v>289</v>
      </c>
      <c r="U12" s="175" t="s">
        <v>273</v>
      </c>
      <c r="V12" s="175" t="s">
        <v>289</v>
      </c>
      <c r="W12" s="175" t="s">
        <v>275</v>
      </c>
      <c r="X12" s="175" t="s">
        <v>272</v>
      </c>
      <c r="Y12" s="175" t="s">
        <v>273</v>
      </c>
      <c r="Z12" s="175" t="s">
        <v>311</v>
      </c>
      <c r="AA12" s="175" t="s">
        <v>275</v>
      </c>
      <c r="AB12" s="175" t="s">
        <v>272</v>
      </c>
      <c r="AC12" s="175" t="s">
        <v>310</v>
      </c>
      <c r="AD12" s="175" t="s">
        <v>311</v>
      </c>
      <c r="AE12" s="175" t="s">
        <v>308</v>
      </c>
    </row>
    <row r="13" spans="1:31">
      <c r="A13" s="175" t="s">
        <v>264</v>
      </c>
      <c r="B13" s="176">
        <f>7*$B3*($C3+7)+7*$B3*$C3</f>
        <v>60480</v>
      </c>
      <c r="C13" s="176">
        <f>6*$B3*($C3+7)+6*$B3*$C3</f>
        <v>51840</v>
      </c>
      <c r="D13" s="176">
        <f>$B3*($C3+7)+$B3*$C3</f>
        <v>8640</v>
      </c>
      <c r="E13" s="176">
        <f>4*($B3-1)</f>
        <v>252</v>
      </c>
      <c r="F13" s="176">
        <v>3</v>
      </c>
      <c r="G13" s="176">
        <f>2*$B3+3</f>
        <v>131</v>
      </c>
      <c r="H13" s="176">
        <v>1</v>
      </c>
      <c r="I13" s="176">
        <f>B3*C3</f>
        <v>4096</v>
      </c>
      <c r="J13" s="176">
        <f>B3*C3</f>
        <v>4096</v>
      </c>
      <c r="K13" s="176">
        <f t="shared" ref="K13:L16" si="0">$B3*$C3</f>
        <v>4096</v>
      </c>
      <c r="L13" s="176">
        <f t="shared" si="0"/>
        <v>4096</v>
      </c>
      <c r="M13" s="176">
        <f>3*($B3/2)*(($C3/2)+3)+3*($B3/2)*($C3/2)</f>
        <v>6432</v>
      </c>
      <c r="N13" s="176">
        <f>4*($B3/2)*(($C3/2)+3)+4*($B3/2)*($C3/2)</f>
        <v>8576</v>
      </c>
      <c r="O13" s="176">
        <f>($B3/2)*(($C3/2)+3)+($B3/2)*($C3/2)</f>
        <v>2144</v>
      </c>
      <c r="P13" s="176">
        <f>(4*($B3/2)-4)*2</f>
        <v>248</v>
      </c>
      <c r="Q13" s="176">
        <f>3*2</f>
        <v>6</v>
      </c>
      <c r="R13" s="176">
        <f>(2*($B3/2)+3)*2</f>
        <v>134</v>
      </c>
      <c r="S13" s="176">
        <f>1*2</f>
        <v>2</v>
      </c>
      <c r="T13" s="176">
        <f t="shared" ref="T13:U15" si="1">(($B3/2)*($C3/2))*2</f>
        <v>2048</v>
      </c>
      <c r="U13" s="176">
        <f t="shared" si="1"/>
        <v>2048</v>
      </c>
      <c r="V13" s="176">
        <f t="shared" ref="V13:W15" si="2">($B3/2)*($C3/2)*2</f>
        <v>2048</v>
      </c>
      <c r="W13" s="176">
        <f t="shared" si="2"/>
        <v>2048</v>
      </c>
      <c r="X13" s="176">
        <f>SUM(B13:B13,E13,F13,I13)+SUM(M13:M13,P13,Q13,T13)</f>
        <v>73565</v>
      </c>
      <c r="Y13" s="176">
        <f>SUM(C13,G13,J13)+SUM(N13,R13,U13)</f>
        <v>66825</v>
      </c>
      <c r="Z13" s="176">
        <f>SUM(H13,S13)</f>
        <v>3</v>
      </c>
      <c r="AA13" s="176">
        <f>SUM(D13)+SUM(O13)</f>
        <v>10784</v>
      </c>
      <c r="AB13" s="176">
        <f>2*SUM(B13:B13,E13,F13,I13)+SUM(K13)+2*SUM(M13:M13,P13,Q13,T13)+SUM(V13)</f>
        <v>153274</v>
      </c>
      <c r="AC13" s="176">
        <f>2*SUM(C13,G13,J13)+2*SUM(N13,R13,U13)</f>
        <v>133650</v>
      </c>
      <c r="AD13" s="176">
        <f>2*SUM(H13,S13)</f>
        <v>6</v>
      </c>
      <c r="AE13" s="176">
        <f>2*(SUM(D13)+SUM(O13))+SUM(L13,W13)</f>
        <v>27712</v>
      </c>
    </row>
    <row r="14" spans="1:31">
      <c r="A14" s="175" t="s">
        <v>265</v>
      </c>
      <c r="B14" s="176">
        <f>7*$B4*($C4+7)+7*$B4*$C4</f>
        <v>15904</v>
      </c>
      <c r="C14" s="176">
        <f>6*$B4*($C4+7)+6*$B4*$C4</f>
        <v>13632</v>
      </c>
      <c r="D14" s="176">
        <f>$B4*($C4+7)+$B4*$C4</f>
        <v>2272</v>
      </c>
      <c r="E14" s="176">
        <f>4*($B4-1)</f>
        <v>124</v>
      </c>
      <c r="F14" s="176">
        <v>3</v>
      </c>
      <c r="G14" s="176">
        <f>2*$B4+3</f>
        <v>67</v>
      </c>
      <c r="H14" s="176">
        <v>1</v>
      </c>
      <c r="I14" s="176">
        <f>B4*C4</f>
        <v>1024</v>
      </c>
      <c r="J14" s="176">
        <f>B4*C4</f>
        <v>1024</v>
      </c>
      <c r="K14" s="176">
        <f t="shared" si="0"/>
        <v>1024</v>
      </c>
      <c r="L14" s="176">
        <f t="shared" si="0"/>
        <v>1024</v>
      </c>
      <c r="M14" s="176">
        <f>3*($B4/2)*(($C4/2)+3)+3*($B4/2)*($C4/2)</f>
        <v>1680</v>
      </c>
      <c r="N14" s="176">
        <f>4*($B4/2)*(($C4/2)+3)+4*($B4/2)*($C4/2)</f>
        <v>2240</v>
      </c>
      <c r="O14" s="176">
        <f>($B4/2)*(($C4/2)+3)+($B4/2)*($C4/2)</f>
        <v>560</v>
      </c>
      <c r="P14" s="176">
        <f>(4*($B4/2)-4)*2</f>
        <v>120</v>
      </c>
      <c r="Q14" s="176">
        <f t="shared" ref="Q14:Q15" si="3">3*2</f>
        <v>6</v>
      </c>
      <c r="R14" s="176">
        <f>(2*($B4/2)+3)*2</f>
        <v>70</v>
      </c>
      <c r="S14" s="176">
        <f t="shared" ref="S14:S15" si="4">1*2</f>
        <v>2</v>
      </c>
      <c r="T14" s="176">
        <f t="shared" si="1"/>
        <v>512</v>
      </c>
      <c r="U14" s="176">
        <f t="shared" si="1"/>
        <v>512</v>
      </c>
      <c r="V14" s="176">
        <f t="shared" si="2"/>
        <v>512</v>
      </c>
      <c r="W14" s="176">
        <f t="shared" si="2"/>
        <v>512</v>
      </c>
      <c r="X14" s="176">
        <f>SUM(B14:B14,E14,F14,I14)+SUM(M14:M14,P14,Q14,T14)</f>
        <v>19373</v>
      </c>
      <c r="Y14" s="176">
        <f>SUM(C14,G14,J14)+SUM(N14,R14,U14)</f>
        <v>17545</v>
      </c>
      <c r="Z14" s="176">
        <f>SUM(H14,S14)</f>
        <v>3</v>
      </c>
      <c r="AA14" s="176">
        <f>SUM(D14)+SUM(O14)</f>
        <v>2832</v>
      </c>
      <c r="AB14" s="176">
        <f>2*SUM(B14:B14,E14,F14,I14)+SUM(K14)+2*SUM(M14:M14,P14,Q14,T14)+SUM(V14)</f>
        <v>40282</v>
      </c>
      <c r="AC14" s="176">
        <f>2*SUM(C14,G14,J14)+2*SUM(N14,R14,U14)</f>
        <v>35090</v>
      </c>
      <c r="AD14" s="176">
        <f>2*SUM(H14,S14)</f>
        <v>6</v>
      </c>
      <c r="AE14" s="176">
        <f>2*(SUM(D14)+SUM(O14))+SUM(L14,W14)</f>
        <v>7200</v>
      </c>
    </row>
    <row r="15" spans="1:31">
      <c r="A15" s="175" t="s">
        <v>266</v>
      </c>
      <c r="B15" s="176">
        <f>7*$B5*($C5+7)+7*$B5*$C5</f>
        <v>4368</v>
      </c>
      <c r="C15" s="176">
        <f>6*$B5*($C5+7)+6*$B5*$C5</f>
        <v>3744</v>
      </c>
      <c r="D15" s="176">
        <f>$B5*($C5+7)+$B5*$C5</f>
        <v>624</v>
      </c>
      <c r="E15" s="176">
        <f>4*($B5-1)</f>
        <v>60</v>
      </c>
      <c r="F15" s="176">
        <v>3</v>
      </c>
      <c r="G15" s="176">
        <f>2*$B5+3</f>
        <v>35</v>
      </c>
      <c r="H15" s="176">
        <v>1</v>
      </c>
      <c r="I15" s="176">
        <f>B5*C5</f>
        <v>256</v>
      </c>
      <c r="J15" s="176">
        <f>B5*C5</f>
        <v>256</v>
      </c>
      <c r="K15" s="176">
        <f t="shared" si="0"/>
        <v>256</v>
      </c>
      <c r="L15" s="176">
        <f t="shared" si="0"/>
        <v>256</v>
      </c>
      <c r="M15" s="176">
        <f>3*($B5/2)*(($C5/2)+3)+3*($B5/2)*($C5/2)</f>
        <v>456</v>
      </c>
      <c r="N15" s="176">
        <f>4*($B5/2)*(($C5/2)+3)+4*($B5/2)*($C5/2)</f>
        <v>608</v>
      </c>
      <c r="O15" s="176">
        <f>($B5/2)*(($C5/2)+3)+($B5/2)*($C5/2)</f>
        <v>152</v>
      </c>
      <c r="P15" s="176">
        <f>(4*($B5/2)-4)*2</f>
        <v>56</v>
      </c>
      <c r="Q15" s="176">
        <f t="shared" si="3"/>
        <v>6</v>
      </c>
      <c r="R15" s="176">
        <f>(2*($B5/2)+3)*2</f>
        <v>38</v>
      </c>
      <c r="S15" s="176">
        <f t="shared" si="4"/>
        <v>2</v>
      </c>
      <c r="T15" s="176">
        <f t="shared" si="1"/>
        <v>128</v>
      </c>
      <c r="U15" s="176">
        <f t="shared" si="1"/>
        <v>128</v>
      </c>
      <c r="V15" s="176">
        <f t="shared" si="2"/>
        <v>128</v>
      </c>
      <c r="W15" s="176">
        <f t="shared" si="2"/>
        <v>128</v>
      </c>
      <c r="X15" s="176">
        <f>SUM(B15:B15,E15,F15,I15)+SUM(M15:M15,P15,Q15,T15)</f>
        <v>5333</v>
      </c>
      <c r="Y15" s="176">
        <f>SUM(C15,G15,J15)+SUM(N15,R15,U15)</f>
        <v>4809</v>
      </c>
      <c r="Z15" s="176">
        <f>SUM(H15,S15)</f>
        <v>3</v>
      </c>
      <c r="AA15" s="176">
        <f>SUM(D15)+SUM(O15)</f>
        <v>776</v>
      </c>
      <c r="AB15" s="176">
        <f>2*SUM(B15:B15,E15,F15,I15)+SUM(K15)+2*SUM(M15:M15,P15,Q15,T15)+SUM(V15)</f>
        <v>11050</v>
      </c>
      <c r="AC15" s="176">
        <f>2*SUM(C15,G15,J15)+2*SUM(N15,R15,U15)</f>
        <v>9618</v>
      </c>
      <c r="AD15" s="176">
        <f>2*SUM(H15,S15)</f>
        <v>6</v>
      </c>
      <c r="AE15" s="176">
        <f>2*(SUM(D15)+SUM(O15))+SUM(L15,W15)</f>
        <v>1936</v>
      </c>
    </row>
    <row r="16" spans="1:31">
      <c r="A16" s="175" t="s">
        <v>267</v>
      </c>
      <c r="B16" s="176">
        <f>7*$B6*($C6+7)+7*$B6*$C6</f>
        <v>1288</v>
      </c>
      <c r="C16" s="176">
        <f>6*$B6*($C6+7)+6*$B6*$C6</f>
        <v>1104</v>
      </c>
      <c r="D16" s="176">
        <f>$B6*($C6+7)+$B6*$C6</f>
        <v>184</v>
      </c>
      <c r="E16" s="176">
        <f>4*($B6-1)</f>
        <v>28</v>
      </c>
      <c r="F16" s="176">
        <v>3</v>
      </c>
      <c r="G16" s="176">
        <f>2*$B6+3</f>
        <v>19</v>
      </c>
      <c r="H16" s="176">
        <v>1</v>
      </c>
      <c r="I16" s="176">
        <f>B6*C6</f>
        <v>64</v>
      </c>
      <c r="J16" s="176">
        <f>B6*C6</f>
        <v>64</v>
      </c>
      <c r="K16" s="176">
        <f t="shared" si="0"/>
        <v>64</v>
      </c>
      <c r="L16" s="176">
        <f t="shared" si="0"/>
        <v>64</v>
      </c>
      <c r="M16" s="176">
        <f>3*($B6/2)*(($C6/2)+3)+3*($B6/2)*($C6/2)</f>
        <v>132</v>
      </c>
      <c r="N16" s="176">
        <f>4*($B6/2)*(($C6/2)+3)+4*($B6/2)*($C6/2)</f>
        <v>176</v>
      </c>
      <c r="O16" s="176">
        <f>($B6/2)*(($C6/2)+3)+($B6/2)*($C6/2)</f>
        <v>44</v>
      </c>
      <c r="P16" s="176" t="s">
        <v>313</v>
      </c>
      <c r="Q16" s="176" t="s">
        <v>313</v>
      </c>
      <c r="R16" s="176" t="s">
        <v>313</v>
      </c>
      <c r="S16" s="176" t="s">
        <v>313</v>
      </c>
      <c r="T16" s="176" t="s">
        <v>313</v>
      </c>
      <c r="U16" s="176" t="s">
        <v>313</v>
      </c>
      <c r="V16" s="176" t="s">
        <v>313</v>
      </c>
      <c r="W16" s="176" t="s">
        <v>313</v>
      </c>
      <c r="X16" s="176">
        <f>SUM(B16:B16,E16,F16,I16)+SUM(M16:M16,P16,Q16,T16)</f>
        <v>1515</v>
      </c>
      <c r="Y16" s="176">
        <f>SUM(C16,G16,J16)+SUM(N16,R16,U16)</f>
        <v>1363</v>
      </c>
      <c r="Z16" s="176">
        <f>SUM(H16,S16)</f>
        <v>1</v>
      </c>
      <c r="AA16" s="176">
        <f>SUM(D16)+SUM(O16)</f>
        <v>228</v>
      </c>
      <c r="AB16" s="176">
        <f>2*SUM(B16:B16,E16,F16,I16)+SUM(K16)+2*SUM(M16:M16,P16,Q16,T16)+SUM(V16)</f>
        <v>3094</v>
      </c>
      <c r="AC16" s="176">
        <f>2*SUM(C16,G16,J16)+2*SUM(N16,R16,U16)</f>
        <v>2726</v>
      </c>
      <c r="AD16" s="176">
        <f>2*SUM(H16,S16)</f>
        <v>2</v>
      </c>
      <c r="AE16" s="176">
        <f>2*(SUM(D16)+SUM(O16))+SUM(L16,W16)</f>
        <v>520</v>
      </c>
    </row>
    <row r="18" spans="1:11">
      <c r="A18" s="172" t="s">
        <v>276</v>
      </c>
    </row>
    <row r="19" spans="1:11">
      <c r="A19" s="178"/>
      <c r="B19" s="195" t="s">
        <v>280</v>
      </c>
      <c r="C19" s="196"/>
      <c r="D19" s="196"/>
      <c r="E19" s="197"/>
      <c r="F19" s="179" t="s">
        <v>271</v>
      </c>
      <c r="G19" s="179" t="s">
        <v>271</v>
      </c>
    </row>
    <row r="20" spans="1:11">
      <c r="A20" s="175" t="s">
        <v>261</v>
      </c>
      <c r="B20" s="180" t="s">
        <v>292</v>
      </c>
      <c r="C20" s="180" t="s">
        <v>293</v>
      </c>
      <c r="D20" s="180" t="s">
        <v>314</v>
      </c>
      <c r="E20" s="180" t="s">
        <v>294</v>
      </c>
      <c r="F20" s="181" t="s">
        <v>295</v>
      </c>
      <c r="G20" s="181" t="s">
        <v>269</v>
      </c>
    </row>
    <row r="21" spans="1:11">
      <c r="A21" s="175" t="s">
        <v>264</v>
      </c>
      <c r="B21" s="176">
        <f t="shared" ref="B21:C24" si="5">(($B3/2)+($C3/2))*$F$1</f>
        <v>512</v>
      </c>
      <c r="C21" s="176">
        <f t="shared" si="5"/>
        <v>512</v>
      </c>
      <c r="D21" s="176">
        <f>$B3*($C3+7)*$F$1</f>
        <v>36352</v>
      </c>
      <c r="E21" s="176">
        <f>($B3+$K$1-1)*($C3+$K$1-1)*$F$1</f>
        <v>40328</v>
      </c>
      <c r="F21" s="182">
        <f>SUM(B21:E21)</f>
        <v>77704</v>
      </c>
      <c r="G21" s="182">
        <f>SUM(B21)+SUM(D21)+2*SUM(C21)+2*SUM(E21)</f>
        <v>118544</v>
      </c>
    </row>
    <row r="22" spans="1:11">
      <c r="A22" s="175" t="s">
        <v>265</v>
      </c>
      <c r="B22" s="176">
        <f t="shared" si="5"/>
        <v>256</v>
      </c>
      <c r="C22" s="176">
        <f t="shared" si="5"/>
        <v>256</v>
      </c>
      <c r="D22" s="176">
        <f>$B4*($C4+7)*$F$1</f>
        <v>9984</v>
      </c>
      <c r="E22" s="176">
        <f>($B4+$K$1-1)*($C4+$K$1-1)*$F$1</f>
        <v>12168</v>
      </c>
      <c r="F22" s="182">
        <f>SUM(B22:E22)</f>
        <v>22664</v>
      </c>
      <c r="G22" s="182">
        <f>SUM(B22)+SUM(D22)+2*SUM(C22)+2*SUM(E22)</f>
        <v>35088</v>
      </c>
    </row>
    <row r="23" spans="1:11">
      <c r="A23" s="175" t="s">
        <v>266</v>
      </c>
      <c r="B23" s="176">
        <f t="shared" si="5"/>
        <v>128</v>
      </c>
      <c r="C23" s="176">
        <f t="shared" si="5"/>
        <v>128</v>
      </c>
      <c r="D23" s="176">
        <f>$B5*($C5+7)*$F$1</f>
        <v>2944</v>
      </c>
      <c r="E23" s="176">
        <f>($B5+$K$1-1)*($C5+$K$1-1)*$F$1</f>
        <v>4232</v>
      </c>
      <c r="F23" s="182">
        <f>SUM(B23:E23)</f>
        <v>7432</v>
      </c>
      <c r="G23" s="182">
        <f>SUM(B23)+SUM(D23)+2*SUM(C23)+2*SUM(E23)</f>
        <v>11792</v>
      </c>
    </row>
    <row r="24" spans="1:11">
      <c r="A24" s="175" t="s">
        <v>267</v>
      </c>
      <c r="B24" s="176">
        <f t="shared" si="5"/>
        <v>64</v>
      </c>
      <c r="C24" s="176">
        <f t="shared" si="5"/>
        <v>64</v>
      </c>
      <c r="D24" s="176">
        <f>$B6*($C6+7)*$F$1</f>
        <v>960</v>
      </c>
      <c r="E24" s="176">
        <f>($B6+$K$1-1)*($C6+$K$1-1)*$F$1</f>
        <v>1800</v>
      </c>
      <c r="F24" s="182">
        <f>SUM(B24:E24)</f>
        <v>2888</v>
      </c>
      <c r="G24" s="182">
        <f>SUM(B24)+SUM(D24)+2*SUM(C24)+2*SUM(E24)</f>
        <v>4752</v>
      </c>
    </row>
    <row r="26" spans="1:11">
      <c r="A26" s="172" t="s">
        <v>277</v>
      </c>
    </row>
    <row r="27" spans="1:11">
      <c r="A27" s="178"/>
      <c r="B27" s="183" t="s">
        <v>280</v>
      </c>
      <c r="C27" s="184"/>
      <c r="D27" s="184"/>
      <c r="E27" s="184"/>
      <c r="F27" s="183" t="s">
        <v>281</v>
      </c>
      <c r="G27" s="184"/>
      <c r="H27" s="184"/>
      <c r="I27" s="184"/>
      <c r="J27" s="179" t="s">
        <v>271</v>
      </c>
      <c r="K27" s="179" t="s">
        <v>271</v>
      </c>
    </row>
    <row r="28" spans="1:11">
      <c r="A28" s="175" t="s">
        <v>261</v>
      </c>
      <c r="B28" s="180" t="s">
        <v>292</v>
      </c>
      <c r="C28" s="180" t="s">
        <v>293</v>
      </c>
      <c r="D28" s="180" t="s">
        <v>294</v>
      </c>
      <c r="E28" s="180" t="s">
        <v>298</v>
      </c>
      <c r="F28" s="180" t="s">
        <v>292</v>
      </c>
      <c r="G28" s="180" t="s">
        <v>293</v>
      </c>
      <c r="H28" s="180" t="s">
        <v>294</v>
      </c>
      <c r="I28" s="180" t="s">
        <v>298</v>
      </c>
      <c r="J28" s="181" t="s">
        <v>295</v>
      </c>
      <c r="K28" s="181" t="s">
        <v>269</v>
      </c>
    </row>
    <row r="29" spans="1:11">
      <c r="A29" s="175" t="s">
        <v>264</v>
      </c>
      <c r="B29" s="176">
        <f t="shared" ref="B29:C32" si="6">(($B3/2)+($C3/2))*$F$1</f>
        <v>512</v>
      </c>
      <c r="C29" s="176">
        <f t="shared" si="6"/>
        <v>512</v>
      </c>
      <c r="D29" s="176">
        <f>($B3+$K$1-1)*($C3+$K$1-1)*$F$1</f>
        <v>40328</v>
      </c>
      <c r="E29" s="176">
        <f>$B3*$C3*$F$1</f>
        <v>32768</v>
      </c>
      <c r="F29" s="176">
        <f t="shared" ref="F29:G31" si="7">(($B3/2/2)+($C3/2/2))*2*$F$1</f>
        <v>512</v>
      </c>
      <c r="G29" s="176">
        <f t="shared" si="7"/>
        <v>512</v>
      </c>
      <c r="H29" s="176">
        <f>(($B3/2+$K$2-1)*($C3/2+$K$2-1))*2*$F$1</f>
        <v>19600</v>
      </c>
      <c r="I29" s="176">
        <f>(($B3/2)*($C3/2))*2*$F$1</f>
        <v>16384</v>
      </c>
      <c r="J29" s="182">
        <f>SUM(B29:I29)</f>
        <v>111128</v>
      </c>
      <c r="K29" s="182">
        <f>SUM(B29)+2*SUM(C29:D29)+SUM(E29)+SUM(F29)+2*SUM(G29:H29)+SUM(I29)</f>
        <v>172080</v>
      </c>
    </row>
    <row r="30" spans="1:11">
      <c r="A30" s="175" t="s">
        <v>265</v>
      </c>
      <c r="B30" s="176">
        <f t="shared" si="6"/>
        <v>256</v>
      </c>
      <c r="C30" s="176">
        <f t="shared" si="6"/>
        <v>256</v>
      </c>
      <c r="D30" s="176">
        <f>($B4+$K$1-1)*($C4+$K$1-1)*$F$1</f>
        <v>12168</v>
      </c>
      <c r="E30" s="176">
        <f>$B4*$C4*$F$1</f>
        <v>8192</v>
      </c>
      <c r="F30" s="176">
        <f t="shared" si="7"/>
        <v>256</v>
      </c>
      <c r="G30" s="176">
        <f t="shared" si="7"/>
        <v>256</v>
      </c>
      <c r="H30" s="176">
        <f>(($B4/2+$K$2-1)*($C4/2+$K$2-1))*2*$F$1</f>
        <v>5776</v>
      </c>
      <c r="I30" s="176">
        <f>(($B4/2)*($C4/2))*2*$F$1</f>
        <v>4096</v>
      </c>
      <c r="J30" s="182">
        <f t="shared" ref="J30:J32" si="8">SUM(B30:I30)</f>
        <v>31256</v>
      </c>
      <c r="K30" s="182">
        <f>SUM(B30)+2*SUM(C30:D30)+SUM(E30)+SUM(F30)+2*SUM(G30:H30)+SUM(I30)</f>
        <v>49712</v>
      </c>
    </row>
    <row r="31" spans="1:11">
      <c r="A31" s="175" t="s">
        <v>266</v>
      </c>
      <c r="B31" s="176">
        <f t="shared" si="6"/>
        <v>128</v>
      </c>
      <c r="C31" s="176">
        <f t="shared" si="6"/>
        <v>128</v>
      </c>
      <c r="D31" s="176">
        <f>($B5+$K$1-1)*($C5+$K$1-1)*$F$1</f>
        <v>4232</v>
      </c>
      <c r="E31" s="176">
        <f>$B5*$C5*$F$1</f>
        <v>2048</v>
      </c>
      <c r="F31" s="176">
        <f t="shared" si="7"/>
        <v>128</v>
      </c>
      <c r="G31" s="176">
        <f t="shared" si="7"/>
        <v>128</v>
      </c>
      <c r="H31" s="176">
        <f>(($B5/2+$K$2-1)*($C5/2+$K$2-1))*2*$F$1</f>
        <v>1936</v>
      </c>
      <c r="I31" s="176">
        <f>(($B5/2)*($C5/2))*2*$F$1</f>
        <v>1024</v>
      </c>
      <c r="J31" s="182">
        <f t="shared" si="8"/>
        <v>9752</v>
      </c>
      <c r="K31" s="182">
        <f>SUM(B31)+2*SUM(C31:D31)+SUM(E31)+SUM(F31)+2*SUM(G31:H31)+SUM(I31)</f>
        <v>16176</v>
      </c>
    </row>
    <row r="32" spans="1:11">
      <c r="A32" s="175" t="s">
        <v>267</v>
      </c>
      <c r="B32" s="176">
        <f t="shared" si="6"/>
        <v>64</v>
      </c>
      <c r="C32" s="176">
        <f t="shared" si="6"/>
        <v>64</v>
      </c>
      <c r="D32" s="176">
        <f>($B6+$K$1-1)*($C6+$K$1-1)*$F$1</f>
        <v>1800</v>
      </c>
      <c r="E32" s="176">
        <f>$B6*$C6*$F$1</f>
        <v>512</v>
      </c>
      <c r="F32" s="176" t="s">
        <v>291</v>
      </c>
      <c r="G32" s="176" t="s">
        <v>291</v>
      </c>
      <c r="H32" s="176" t="s">
        <v>291</v>
      </c>
      <c r="I32" s="176">
        <f>(($B6/2)*($C6/2))*2*$F$1</f>
        <v>256</v>
      </c>
      <c r="J32" s="182">
        <f t="shared" si="8"/>
        <v>2696</v>
      </c>
      <c r="K32" s="182">
        <f>SUM(B32)+2*SUM(C32:D32)+SUM(E32)+SUM(F32)+2*SUM(G32:H32)+SUM(I32)</f>
        <v>4560</v>
      </c>
    </row>
  </sheetData>
  <mergeCells count="3">
    <mergeCell ref="B9:L9"/>
    <mergeCell ref="B10:J10"/>
    <mergeCell ref="M10:U10"/>
  </mergeCells>
  <phoneticPr fontId="14" type="noConversion"/>
  <pageMargins left="0.7" right="0.7" top="0.75" bottom="0.75" header="0.3" footer="0.3"/>
  <pageSetup paperSize="9"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zoomScale="115" zoomScaleNormal="115" workbookViewId="0">
      <pane xSplit="4" topLeftCell="E1" activePane="topRight" state="frozen"/>
      <selection pane="topRight" activeCell="C17" sqref="C17"/>
    </sheetView>
  </sheetViews>
  <sheetFormatPr defaultColWidth="9" defaultRowHeight="15.75"/>
  <cols>
    <col min="1" max="1" width="12" style="207" customWidth="1"/>
    <col min="2" max="10" width="9" style="207" customWidth="1"/>
    <col min="11" max="16384" width="9" style="207"/>
  </cols>
  <sheetData>
    <row r="1" spans="1:21" s="198" customFormat="1">
      <c r="E1" s="199" t="s">
        <v>319</v>
      </c>
      <c r="G1" s="199" t="s">
        <v>320</v>
      </c>
      <c r="H1" s="199" t="s">
        <v>321</v>
      </c>
      <c r="J1" s="199" t="s">
        <v>322</v>
      </c>
      <c r="K1" s="199" t="s">
        <v>323</v>
      </c>
      <c r="M1" s="199" t="s">
        <v>324</v>
      </c>
      <c r="S1" s="199" t="s">
        <v>325</v>
      </c>
    </row>
    <row r="2" spans="1:21">
      <c r="A2" s="379" t="s">
        <v>326</v>
      </c>
      <c r="B2" s="200"/>
      <c r="C2" s="201" t="s">
        <v>327</v>
      </c>
      <c r="D2" s="202" t="s">
        <v>328</v>
      </c>
      <c r="E2" s="203" t="s">
        <v>329</v>
      </c>
      <c r="F2" s="203" t="s">
        <v>78</v>
      </c>
      <c r="G2" s="204" t="s">
        <v>330</v>
      </c>
      <c r="H2" s="201" t="s">
        <v>331</v>
      </c>
      <c r="I2" s="205" t="s">
        <v>332</v>
      </c>
      <c r="J2" s="202" t="s">
        <v>333</v>
      </c>
      <c r="K2" s="206" t="s">
        <v>334</v>
      </c>
      <c r="L2" s="204" t="s">
        <v>335</v>
      </c>
      <c r="M2" s="203" t="s">
        <v>336</v>
      </c>
      <c r="N2" s="203" t="s">
        <v>337</v>
      </c>
      <c r="O2" s="203"/>
      <c r="P2" s="204"/>
      <c r="Q2" s="201" t="s">
        <v>338</v>
      </c>
      <c r="R2" s="205" t="s">
        <v>339</v>
      </c>
      <c r="S2" s="206" t="s">
        <v>329</v>
      </c>
      <c r="T2" s="203" t="s">
        <v>340</v>
      </c>
      <c r="U2" s="204" t="s">
        <v>330</v>
      </c>
    </row>
    <row r="3" spans="1:21">
      <c r="A3" s="380"/>
      <c r="B3" s="382" t="s">
        <v>341</v>
      </c>
      <c r="C3" s="208" t="s">
        <v>342</v>
      </c>
      <c r="D3" s="209" t="s">
        <v>343</v>
      </c>
      <c r="E3" s="210">
        <f t="shared" ref="E3:E8" si="0">((K3*M3*(L3+M3-1)+K3*M3*L3)*Q3+(K3/2*N3*(L3/2+N3-1)+K3/2*N3*L3/2)*2*R3)/(K3*L3)</f>
        <v>42.125</v>
      </c>
      <c r="F3" s="210">
        <f t="shared" ref="F3:F8" si="1">((K3*(M3-1)*(L3+M3-1)+K3*(M3-1)*L3)*Q3+(K3/2*(N3-1)*(L3/2+N3-1)+K3/2*(N3-1)*L3/2)*2*R3)/(K3*L3)</f>
        <v>35.8125</v>
      </c>
      <c r="G3" s="211">
        <f t="shared" ref="G3:G8" si="2">((K3+M3-1)*(L3+M3-1)*Q3+(K3/2+N3-1)*(L3/2+N3-1)*2*R3)/(K3*L3)</f>
        <v>3.65771484375</v>
      </c>
      <c r="H3" s="212">
        <f>E3/E$6</f>
        <v>0.73903508771929827</v>
      </c>
      <c r="I3" s="213">
        <f t="shared" ref="I3:J8" si="3">F3/F$6</f>
        <v>0.73840206185567014</v>
      </c>
      <c r="J3" s="214">
        <f>G3/G$6</f>
        <v>0.36237422600619196</v>
      </c>
      <c r="K3" s="208">
        <v>64</v>
      </c>
      <c r="L3" s="209">
        <v>64</v>
      </c>
      <c r="M3" s="207">
        <v>8</v>
      </c>
      <c r="N3" s="207">
        <v>4</v>
      </c>
      <c r="O3" s="215"/>
      <c r="P3" s="216"/>
      <c r="Q3" s="208">
        <v>2</v>
      </c>
      <c r="R3" s="207">
        <v>2</v>
      </c>
      <c r="S3" s="208" t="s">
        <v>344</v>
      </c>
      <c r="T3" s="207" t="s">
        <v>345</v>
      </c>
      <c r="U3" s="209" t="s">
        <v>346</v>
      </c>
    </row>
    <row r="4" spans="1:21">
      <c r="A4" s="380"/>
      <c r="B4" s="380"/>
      <c r="C4" s="208" t="s">
        <v>347</v>
      </c>
      <c r="D4" s="209" t="s">
        <v>347</v>
      </c>
      <c r="E4" s="210">
        <f t="shared" si="0"/>
        <v>44.25</v>
      </c>
      <c r="F4" s="210">
        <f t="shared" si="1"/>
        <v>37.625</v>
      </c>
      <c r="G4" s="211">
        <f t="shared" si="2"/>
        <v>4.380859375</v>
      </c>
      <c r="H4" s="217">
        <f t="shared" ref="H4:H5" si="4">E4/E$6</f>
        <v>0.77631578947368418</v>
      </c>
      <c r="I4" s="218">
        <f t="shared" si="3"/>
        <v>0.77577319587628868</v>
      </c>
      <c r="J4" s="219">
        <f t="shared" si="3"/>
        <v>0.43401702786377711</v>
      </c>
      <c r="K4" s="208">
        <v>32</v>
      </c>
      <c r="L4" s="209">
        <v>32</v>
      </c>
      <c r="M4" s="207">
        <v>8</v>
      </c>
      <c r="N4" s="207">
        <v>4</v>
      </c>
      <c r="P4" s="209"/>
      <c r="Q4" s="208">
        <v>2</v>
      </c>
      <c r="R4" s="207">
        <v>2</v>
      </c>
      <c r="S4" s="208" t="s">
        <v>348</v>
      </c>
      <c r="T4" s="207" t="s">
        <v>345</v>
      </c>
      <c r="U4" s="209" t="s">
        <v>349</v>
      </c>
    </row>
    <row r="5" spans="1:21">
      <c r="A5" s="380"/>
      <c r="B5" s="380"/>
      <c r="C5" s="208" t="s">
        <v>350</v>
      </c>
      <c r="D5" s="209" t="s">
        <v>351</v>
      </c>
      <c r="E5" s="210">
        <f t="shared" si="0"/>
        <v>48.5</v>
      </c>
      <c r="F5" s="210">
        <f t="shared" si="1"/>
        <v>41.25</v>
      </c>
      <c r="G5" s="211">
        <f t="shared" si="2"/>
        <v>6.0234375</v>
      </c>
      <c r="H5" s="217">
        <f t="shared" si="4"/>
        <v>0.85087719298245612</v>
      </c>
      <c r="I5" s="218">
        <f t="shared" si="3"/>
        <v>0.85051546391752575</v>
      </c>
      <c r="J5" s="219">
        <f t="shared" si="3"/>
        <v>0.59674922600619196</v>
      </c>
      <c r="K5" s="208">
        <v>16</v>
      </c>
      <c r="L5" s="209">
        <v>16</v>
      </c>
      <c r="M5" s="207">
        <v>8</v>
      </c>
      <c r="N5" s="207">
        <v>4</v>
      </c>
      <c r="P5" s="209"/>
      <c r="Q5" s="208">
        <v>2</v>
      </c>
      <c r="R5" s="207">
        <v>2</v>
      </c>
      <c r="S5" s="208" t="s">
        <v>344</v>
      </c>
      <c r="T5" s="207" t="s">
        <v>352</v>
      </c>
      <c r="U5" s="209" t="s">
        <v>349</v>
      </c>
    </row>
    <row r="6" spans="1:21">
      <c r="A6" s="380"/>
      <c r="B6" s="380"/>
      <c r="C6" s="208" t="s">
        <v>353</v>
      </c>
      <c r="D6" s="209" t="s">
        <v>354</v>
      </c>
      <c r="E6" s="220">
        <f t="shared" si="0"/>
        <v>57</v>
      </c>
      <c r="F6" s="220">
        <f t="shared" si="1"/>
        <v>48.5</v>
      </c>
      <c r="G6" s="221">
        <f t="shared" si="2"/>
        <v>10.09375</v>
      </c>
      <c r="H6" s="222">
        <f>E6/E$6</f>
        <v>1</v>
      </c>
      <c r="I6" s="223">
        <f t="shared" si="3"/>
        <v>1</v>
      </c>
      <c r="J6" s="224">
        <f t="shared" si="3"/>
        <v>1</v>
      </c>
      <c r="K6" s="208">
        <v>8</v>
      </c>
      <c r="L6" s="209">
        <v>8</v>
      </c>
      <c r="M6" s="207">
        <v>8</v>
      </c>
      <c r="N6" s="207">
        <v>4</v>
      </c>
      <c r="P6" s="209"/>
      <c r="Q6" s="208">
        <v>2</v>
      </c>
      <c r="R6" s="207">
        <v>2</v>
      </c>
      <c r="S6" s="208" t="s">
        <v>344</v>
      </c>
      <c r="T6" s="207" t="s">
        <v>345</v>
      </c>
      <c r="U6" s="209" t="s">
        <v>346</v>
      </c>
    </row>
    <row r="7" spans="1:21">
      <c r="A7" s="380"/>
      <c r="B7" s="380"/>
      <c r="C7" s="208" t="s">
        <v>353</v>
      </c>
      <c r="D7" s="209" t="s">
        <v>355</v>
      </c>
      <c r="E7" s="210">
        <f t="shared" si="0"/>
        <v>37</v>
      </c>
      <c r="F7" s="210">
        <f t="shared" si="1"/>
        <v>31.5</v>
      </c>
      <c r="G7" s="211">
        <f t="shared" si="2"/>
        <v>7.34375</v>
      </c>
      <c r="H7" s="217">
        <f t="shared" ref="H7:H8" si="5">E7/E$6</f>
        <v>0.64912280701754388</v>
      </c>
      <c r="I7" s="218">
        <f t="shared" si="3"/>
        <v>0.64948453608247425</v>
      </c>
      <c r="J7" s="219">
        <f t="shared" si="3"/>
        <v>0.72755417956656343</v>
      </c>
      <c r="K7" s="208">
        <v>8</v>
      </c>
      <c r="L7" s="209">
        <v>4</v>
      </c>
      <c r="M7" s="207">
        <v>8</v>
      </c>
      <c r="N7" s="207">
        <v>4</v>
      </c>
      <c r="P7" s="209"/>
      <c r="Q7" s="208">
        <v>1</v>
      </c>
      <c r="R7" s="207">
        <v>1</v>
      </c>
      <c r="S7" s="208" t="s">
        <v>344</v>
      </c>
      <c r="T7" s="207" t="s">
        <v>352</v>
      </c>
      <c r="U7" s="209" t="s">
        <v>356</v>
      </c>
    </row>
    <row r="8" spans="1:21">
      <c r="A8" s="381"/>
      <c r="B8" s="381"/>
      <c r="C8" s="225" t="s">
        <v>357</v>
      </c>
      <c r="D8" s="226" t="s">
        <v>358</v>
      </c>
      <c r="E8" s="227">
        <f t="shared" si="0"/>
        <v>28.5</v>
      </c>
      <c r="F8" s="227">
        <f t="shared" si="1"/>
        <v>24.25</v>
      </c>
      <c r="G8" s="228">
        <f t="shared" si="2"/>
        <v>7.34375</v>
      </c>
      <c r="H8" s="229">
        <f t="shared" si="5"/>
        <v>0.5</v>
      </c>
      <c r="I8" s="230">
        <f t="shared" si="3"/>
        <v>0.5</v>
      </c>
      <c r="J8" s="231">
        <f t="shared" si="3"/>
        <v>0.72755417956656343</v>
      </c>
      <c r="K8" s="225">
        <v>4</v>
      </c>
      <c r="L8" s="226">
        <v>8</v>
      </c>
      <c r="M8" s="232">
        <v>8</v>
      </c>
      <c r="N8" s="232">
        <v>4</v>
      </c>
      <c r="O8" s="232"/>
      <c r="P8" s="226"/>
      <c r="Q8" s="225">
        <v>1</v>
      </c>
      <c r="R8" s="232">
        <v>1</v>
      </c>
      <c r="S8" s="225" t="s">
        <v>344</v>
      </c>
      <c r="T8" s="232" t="s">
        <v>345</v>
      </c>
      <c r="U8" s="226" t="s">
        <v>349</v>
      </c>
    </row>
    <row r="9" spans="1:21">
      <c r="A9" s="379" t="s">
        <v>359</v>
      </c>
      <c r="B9" s="200"/>
      <c r="C9" s="201" t="s">
        <v>327</v>
      </c>
      <c r="D9" s="202" t="s">
        <v>328</v>
      </c>
      <c r="E9" s="203" t="s">
        <v>329</v>
      </c>
      <c r="F9" s="203" t="s">
        <v>340</v>
      </c>
      <c r="G9" s="204" t="s">
        <v>330</v>
      </c>
      <c r="H9" s="201" t="s">
        <v>360</v>
      </c>
      <c r="I9" s="205" t="s">
        <v>332</v>
      </c>
      <c r="J9" s="202" t="s">
        <v>361</v>
      </c>
      <c r="K9" s="206" t="s">
        <v>362</v>
      </c>
      <c r="L9" s="204" t="s">
        <v>363</v>
      </c>
      <c r="M9" s="203" t="s">
        <v>364</v>
      </c>
      <c r="N9" s="203" t="s">
        <v>365</v>
      </c>
      <c r="O9" s="203" t="s">
        <v>366</v>
      </c>
      <c r="P9" s="204" t="s">
        <v>367</v>
      </c>
      <c r="Q9" s="201" t="s">
        <v>338</v>
      </c>
      <c r="R9" s="205" t="s">
        <v>339</v>
      </c>
      <c r="S9" s="206" t="s">
        <v>329</v>
      </c>
      <c r="T9" s="203" t="s">
        <v>340</v>
      </c>
      <c r="U9" s="204" t="s">
        <v>330</v>
      </c>
    </row>
    <row r="10" spans="1:21">
      <c r="A10" s="380"/>
      <c r="B10" s="379" t="s">
        <v>368</v>
      </c>
      <c r="C10" s="208" t="s">
        <v>342</v>
      </c>
      <c r="D10" s="209" t="s">
        <v>342</v>
      </c>
      <c r="E10" s="210">
        <f t="shared" ref="E10:E15" si="6">((O10*M10*(P10+M10-1)+O10*M10*P10)*Q10+(O10/2*N10*(P10/2+N10-1)+O10/2*N10*P10/2)*2*R10)*(K10/O10*L10/P10)/(K10*L10)</f>
        <v>57</v>
      </c>
      <c r="F10" s="210">
        <f t="shared" ref="F10:F15" si="7">((O10*(M10-1)*(P10+M10-1)+O10*(M10-1)*P10)*Q10+(O10/2*(N10-1)*(P10/2+N10-1)+O10/2*(N10-1)*P10/2)*2*R10)*(K10/O10*L10/P10)/(K10*L10)</f>
        <v>48.5</v>
      </c>
      <c r="G10" s="211">
        <f t="shared" ref="G10:G15" si="8">((O10+M10-1)*(P10+M10-1)*Q10+(O10/2+N10-1)*(P10/2+N10-1)*2*R10)*(K10/O10*L10/P10)/(K10*L10)</f>
        <v>10.09375</v>
      </c>
      <c r="H10" s="212">
        <f>E10/E$6</f>
        <v>1</v>
      </c>
      <c r="I10" s="213">
        <f t="shared" ref="I10:J15" si="9">F10/F$6</f>
        <v>1</v>
      </c>
      <c r="J10" s="214">
        <f t="shared" si="9"/>
        <v>1</v>
      </c>
      <c r="K10" s="208">
        <v>64</v>
      </c>
      <c r="L10" s="209">
        <v>64</v>
      </c>
      <c r="M10" s="207">
        <v>8</v>
      </c>
      <c r="N10" s="207">
        <v>4</v>
      </c>
      <c r="O10" s="215">
        <v>8</v>
      </c>
      <c r="P10" s="216">
        <v>8</v>
      </c>
      <c r="Q10" s="208">
        <v>2</v>
      </c>
      <c r="R10" s="207">
        <v>2</v>
      </c>
      <c r="S10" s="7" t="s">
        <v>369</v>
      </c>
      <c r="T10" s="8" t="s">
        <v>370</v>
      </c>
      <c r="U10" s="9" t="s">
        <v>371</v>
      </c>
    </row>
    <row r="11" spans="1:21">
      <c r="A11" s="380"/>
      <c r="B11" s="380"/>
      <c r="C11" s="208" t="s">
        <v>347</v>
      </c>
      <c r="D11" s="209" t="s">
        <v>347</v>
      </c>
      <c r="E11" s="210">
        <f t="shared" si="6"/>
        <v>57</v>
      </c>
      <c r="F11" s="210">
        <f t="shared" si="7"/>
        <v>48.5</v>
      </c>
      <c r="G11" s="211">
        <f t="shared" si="8"/>
        <v>10.09375</v>
      </c>
      <c r="H11" s="217">
        <f t="shared" ref="H11:H12" si="10">E11/E$6</f>
        <v>1</v>
      </c>
      <c r="I11" s="218">
        <f t="shared" si="9"/>
        <v>1</v>
      </c>
      <c r="J11" s="219">
        <f t="shared" si="9"/>
        <v>1</v>
      </c>
      <c r="K11" s="208">
        <v>32</v>
      </c>
      <c r="L11" s="209">
        <v>32</v>
      </c>
      <c r="M11" s="207">
        <v>8</v>
      </c>
      <c r="N11" s="207">
        <v>4</v>
      </c>
      <c r="O11" s="207">
        <v>8</v>
      </c>
      <c r="P11" s="209">
        <v>8</v>
      </c>
      <c r="Q11" s="208">
        <v>2</v>
      </c>
      <c r="R11" s="207">
        <v>2</v>
      </c>
      <c r="S11" s="208" t="s">
        <v>344</v>
      </c>
      <c r="T11" s="207" t="s">
        <v>345</v>
      </c>
      <c r="U11" s="209" t="s">
        <v>349</v>
      </c>
    </row>
    <row r="12" spans="1:21">
      <c r="A12" s="380"/>
      <c r="B12" s="380"/>
      <c r="C12" s="208" t="s">
        <v>350</v>
      </c>
      <c r="D12" s="209" t="s">
        <v>350</v>
      </c>
      <c r="E12" s="210">
        <f t="shared" si="6"/>
        <v>57</v>
      </c>
      <c r="F12" s="210">
        <f t="shared" si="7"/>
        <v>48.5</v>
      </c>
      <c r="G12" s="211">
        <f t="shared" si="8"/>
        <v>10.09375</v>
      </c>
      <c r="H12" s="217">
        <f t="shared" si="10"/>
        <v>1</v>
      </c>
      <c r="I12" s="218">
        <f t="shared" si="9"/>
        <v>1</v>
      </c>
      <c r="J12" s="219">
        <f t="shared" si="9"/>
        <v>1</v>
      </c>
      <c r="K12" s="208">
        <v>16</v>
      </c>
      <c r="L12" s="209">
        <v>16</v>
      </c>
      <c r="M12" s="207">
        <v>8</v>
      </c>
      <c r="N12" s="207">
        <v>4</v>
      </c>
      <c r="O12" s="207">
        <v>8</v>
      </c>
      <c r="P12" s="209">
        <v>8</v>
      </c>
      <c r="Q12" s="208">
        <v>2</v>
      </c>
      <c r="R12" s="207">
        <v>2</v>
      </c>
      <c r="S12" s="208" t="s">
        <v>344</v>
      </c>
      <c r="T12" s="207" t="s">
        <v>345</v>
      </c>
      <c r="U12" s="209" t="s">
        <v>349</v>
      </c>
    </row>
    <row r="13" spans="1:21">
      <c r="A13" s="380"/>
      <c r="B13" s="380"/>
      <c r="C13" s="208" t="s">
        <v>354</v>
      </c>
      <c r="D13" s="209" t="s">
        <v>354</v>
      </c>
      <c r="E13" s="210">
        <f t="shared" si="6"/>
        <v>57</v>
      </c>
      <c r="F13" s="210">
        <f t="shared" si="7"/>
        <v>48.5</v>
      </c>
      <c r="G13" s="211">
        <f t="shared" si="8"/>
        <v>10.09375</v>
      </c>
      <c r="H13" s="217">
        <f>E13/E$6</f>
        <v>1</v>
      </c>
      <c r="I13" s="218">
        <f t="shared" si="9"/>
        <v>1</v>
      </c>
      <c r="J13" s="219">
        <f t="shared" si="9"/>
        <v>1</v>
      </c>
      <c r="K13" s="208">
        <v>8</v>
      </c>
      <c r="L13" s="209">
        <v>8</v>
      </c>
      <c r="M13" s="207">
        <v>8</v>
      </c>
      <c r="N13" s="207">
        <v>4</v>
      </c>
      <c r="O13" s="207">
        <v>8</v>
      </c>
      <c r="P13" s="209">
        <v>8</v>
      </c>
      <c r="Q13" s="208">
        <v>2</v>
      </c>
      <c r="R13" s="207">
        <v>2</v>
      </c>
      <c r="S13" s="208" t="s">
        <v>344</v>
      </c>
      <c r="T13" s="207" t="s">
        <v>345</v>
      </c>
      <c r="U13" s="209" t="s">
        <v>349</v>
      </c>
    </row>
    <row r="14" spans="1:21">
      <c r="A14" s="380"/>
      <c r="B14" s="380"/>
      <c r="C14" s="208" t="s">
        <v>354</v>
      </c>
      <c r="D14" s="209" t="s">
        <v>355</v>
      </c>
      <c r="E14" s="210">
        <f t="shared" si="6"/>
        <v>37</v>
      </c>
      <c r="F14" s="210">
        <f t="shared" si="7"/>
        <v>31.5</v>
      </c>
      <c r="G14" s="211">
        <f t="shared" si="8"/>
        <v>7.34375</v>
      </c>
      <c r="H14" s="217">
        <f t="shared" ref="H14:H15" si="11">E14/E$6</f>
        <v>0.64912280701754388</v>
      </c>
      <c r="I14" s="218">
        <f t="shared" si="9"/>
        <v>0.64948453608247425</v>
      </c>
      <c r="J14" s="219">
        <f t="shared" si="9"/>
        <v>0.72755417956656343</v>
      </c>
      <c r="K14" s="208">
        <v>8</v>
      </c>
      <c r="L14" s="209">
        <v>4</v>
      </c>
      <c r="M14" s="207">
        <v>8</v>
      </c>
      <c r="N14" s="207">
        <v>4</v>
      </c>
      <c r="O14" s="207">
        <v>8</v>
      </c>
      <c r="P14" s="209">
        <v>4</v>
      </c>
      <c r="Q14" s="208">
        <v>1</v>
      </c>
      <c r="R14" s="207">
        <v>1</v>
      </c>
      <c r="S14" s="208" t="s">
        <v>344</v>
      </c>
      <c r="T14" s="207" t="s">
        <v>345</v>
      </c>
      <c r="U14" s="209" t="s">
        <v>349</v>
      </c>
    </row>
    <row r="15" spans="1:21">
      <c r="A15" s="380"/>
      <c r="B15" s="381"/>
      <c r="C15" s="225" t="s">
        <v>354</v>
      </c>
      <c r="D15" s="226" t="s">
        <v>358</v>
      </c>
      <c r="E15" s="210">
        <f t="shared" si="6"/>
        <v>28.5</v>
      </c>
      <c r="F15" s="210">
        <f t="shared" si="7"/>
        <v>24.25</v>
      </c>
      <c r="G15" s="211">
        <f t="shared" si="8"/>
        <v>7.34375</v>
      </c>
      <c r="H15" s="229">
        <f t="shared" si="11"/>
        <v>0.5</v>
      </c>
      <c r="I15" s="230">
        <f t="shared" si="9"/>
        <v>0.5</v>
      </c>
      <c r="J15" s="231">
        <f t="shared" si="9"/>
        <v>0.72755417956656343</v>
      </c>
      <c r="K15" s="225">
        <v>4</v>
      </c>
      <c r="L15" s="226">
        <v>8</v>
      </c>
      <c r="M15" s="232">
        <v>8</v>
      </c>
      <c r="N15" s="232">
        <v>4</v>
      </c>
      <c r="O15" s="232">
        <v>4</v>
      </c>
      <c r="P15" s="226">
        <v>8</v>
      </c>
      <c r="Q15" s="225">
        <v>1</v>
      </c>
      <c r="R15" s="232">
        <v>1</v>
      </c>
      <c r="S15" s="225" t="s">
        <v>344</v>
      </c>
      <c r="T15" s="232" t="s">
        <v>345</v>
      </c>
      <c r="U15" s="226" t="s">
        <v>349</v>
      </c>
    </row>
    <row r="16" spans="1:21">
      <c r="A16" s="380"/>
      <c r="B16" s="200"/>
      <c r="C16" s="201" t="s">
        <v>372</v>
      </c>
      <c r="D16" s="202" t="s">
        <v>373</v>
      </c>
      <c r="E16" s="203" t="s">
        <v>329</v>
      </c>
      <c r="F16" s="203" t="s">
        <v>340</v>
      </c>
      <c r="G16" s="204" t="s">
        <v>330</v>
      </c>
      <c r="H16" s="201" t="s">
        <v>360</v>
      </c>
      <c r="I16" s="205" t="s">
        <v>332</v>
      </c>
      <c r="J16" s="202" t="s">
        <v>361</v>
      </c>
      <c r="K16" s="206" t="s">
        <v>362</v>
      </c>
      <c r="L16" s="204" t="s">
        <v>363</v>
      </c>
      <c r="M16" s="203" t="s">
        <v>336</v>
      </c>
      <c r="N16" s="203" t="s">
        <v>337</v>
      </c>
      <c r="O16" s="203" t="s">
        <v>366</v>
      </c>
      <c r="P16" s="204" t="s">
        <v>367</v>
      </c>
      <c r="Q16" s="201" t="s">
        <v>338</v>
      </c>
      <c r="R16" s="205" t="s">
        <v>339</v>
      </c>
      <c r="S16" s="206" t="s">
        <v>329</v>
      </c>
      <c r="T16" s="203" t="s">
        <v>78</v>
      </c>
      <c r="U16" s="204" t="s">
        <v>330</v>
      </c>
    </row>
    <row r="17" spans="1:21">
      <c r="A17" s="380"/>
      <c r="B17" s="379" t="s">
        <v>374</v>
      </c>
      <c r="C17" s="208" t="s">
        <v>342</v>
      </c>
      <c r="D17" s="209" t="s">
        <v>342</v>
      </c>
      <c r="E17" s="210">
        <f t="shared" ref="E17:E22" si="12">((O17*M17*(P17+M17-1)+O17*M17*P17)*Q17+(O17/2*N17*(P17/2+N17-1)+O17/2*N17*P17/2)*2*R17)*(K17/O17*L17/P17)/(K17*L17)</f>
        <v>48.5</v>
      </c>
      <c r="F17" s="210">
        <f t="shared" ref="F17:F22" si="13">((O17*(M17-1)*(P17+M17-1)+O17*(M17-1)*P17)*Q17+(O17/2*(N17-1)*(P17/2+N17-1)+O17/2*(N17-1)*P17/2)*2*R17)*(K17/O17*L17/P17)/(K17*L17)</f>
        <v>41.25</v>
      </c>
      <c r="G17" s="211">
        <f t="shared" ref="G17:G22" si="14">((O17+M17-1)*(P17+M17-1)*Q17+(O17/2+N17-1)*(P17/2+N17-1)*2*R17)*(K17/O17*L17/P17)/(K17*L17)</f>
        <v>6.0234375</v>
      </c>
      <c r="H17" s="212">
        <f>E17/E$6</f>
        <v>0.85087719298245612</v>
      </c>
      <c r="I17" s="213">
        <f t="shared" ref="I17:J22" si="15">F17/F$6</f>
        <v>0.85051546391752575</v>
      </c>
      <c r="J17" s="214">
        <f t="shared" si="15"/>
        <v>0.59674922600619196</v>
      </c>
      <c r="K17" s="208">
        <v>64</v>
      </c>
      <c r="L17" s="209">
        <v>64</v>
      </c>
      <c r="M17" s="207">
        <v>8</v>
      </c>
      <c r="N17" s="207">
        <v>4</v>
      </c>
      <c r="O17" s="233">
        <v>16</v>
      </c>
      <c r="P17" s="234">
        <v>16</v>
      </c>
      <c r="Q17" s="208">
        <v>2</v>
      </c>
      <c r="R17" s="207">
        <v>2</v>
      </c>
      <c r="S17" s="7" t="s">
        <v>375</v>
      </c>
      <c r="T17" s="8" t="s">
        <v>370</v>
      </c>
      <c r="U17" s="9" t="s">
        <v>371</v>
      </c>
    </row>
    <row r="18" spans="1:21">
      <c r="A18" s="380"/>
      <c r="B18" s="380"/>
      <c r="C18" s="208" t="s">
        <v>376</v>
      </c>
      <c r="D18" s="209" t="s">
        <v>347</v>
      </c>
      <c r="E18" s="210">
        <f t="shared" si="12"/>
        <v>48.5</v>
      </c>
      <c r="F18" s="210">
        <f t="shared" si="13"/>
        <v>41.25</v>
      </c>
      <c r="G18" s="211">
        <f t="shared" si="14"/>
        <v>6.0234375</v>
      </c>
      <c r="H18" s="217">
        <f t="shared" ref="H18:H19" si="16">E18/E$6</f>
        <v>0.85087719298245612</v>
      </c>
      <c r="I18" s="218">
        <f t="shared" si="15"/>
        <v>0.85051546391752575</v>
      </c>
      <c r="J18" s="219">
        <f t="shared" si="15"/>
        <v>0.59674922600619196</v>
      </c>
      <c r="K18" s="208">
        <v>32</v>
      </c>
      <c r="L18" s="209">
        <v>32</v>
      </c>
      <c r="M18" s="207">
        <v>8</v>
      </c>
      <c r="N18" s="207">
        <v>4</v>
      </c>
      <c r="O18" s="198">
        <v>16</v>
      </c>
      <c r="P18" s="235">
        <v>16</v>
      </c>
      <c r="Q18" s="208">
        <v>2</v>
      </c>
      <c r="R18" s="207">
        <v>2</v>
      </c>
      <c r="S18" s="208" t="s">
        <v>344</v>
      </c>
      <c r="T18" s="207" t="s">
        <v>377</v>
      </c>
      <c r="U18" s="209" t="s">
        <v>378</v>
      </c>
    </row>
    <row r="19" spans="1:21">
      <c r="A19" s="380"/>
      <c r="B19" s="380"/>
      <c r="C19" s="208" t="s">
        <v>350</v>
      </c>
      <c r="D19" s="209" t="s">
        <v>350</v>
      </c>
      <c r="E19" s="210">
        <f t="shared" si="12"/>
        <v>48.5</v>
      </c>
      <c r="F19" s="210">
        <f t="shared" si="13"/>
        <v>41.25</v>
      </c>
      <c r="G19" s="211">
        <f t="shared" si="14"/>
        <v>6.0234375</v>
      </c>
      <c r="H19" s="217">
        <f t="shared" si="16"/>
        <v>0.85087719298245612</v>
      </c>
      <c r="I19" s="218">
        <f t="shared" si="15"/>
        <v>0.85051546391752575</v>
      </c>
      <c r="J19" s="219">
        <f t="shared" si="15"/>
        <v>0.59674922600619196</v>
      </c>
      <c r="K19" s="208">
        <v>16</v>
      </c>
      <c r="L19" s="209">
        <v>16</v>
      </c>
      <c r="M19" s="207">
        <v>8</v>
      </c>
      <c r="N19" s="207">
        <v>4</v>
      </c>
      <c r="O19" s="198">
        <v>16</v>
      </c>
      <c r="P19" s="235">
        <v>16</v>
      </c>
      <c r="Q19" s="208">
        <v>2</v>
      </c>
      <c r="R19" s="207">
        <v>2</v>
      </c>
      <c r="S19" s="208" t="s">
        <v>344</v>
      </c>
      <c r="T19" s="207" t="s">
        <v>345</v>
      </c>
      <c r="U19" s="209" t="s">
        <v>349</v>
      </c>
    </row>
    <row r="20" spans="1:21">
      <c r="A20" s="380"/>
      <c r="B20" s="380"/>
      <c r="C20" s="208" t="s">
        <v>379</v>
      </c>
      <c r="D20" s="209" t="s">
        <v>354</v>
      </c>
      <c r="E20" s="210">
        <f t="shared" si="12"/>
        <v>57</v>
      </c>
      <c r="F20" s="210">
        <f t="shared" si="13"/>
        <v>48.5</v>
      </c>
      <c r="G20" s="211">
        <f t="shared" si="14"/>
        <v>10.09375</v>
      </c>
      <c r="H20" s="217">
        <f>E20/E$6</f>
        <v>1</v>
      </c>
      <c r="I20" s="218">
        <f t="shared" si="15"/>
        <v>1</v>
      </c>
      <c r="J20" s="219">
        <f t="shared" si="15"/>
        <v>1</v>
      </c>
      <c r="K20" s="208">
        <v>8</v>
      </c>
      <c r="L20" s="209">
        <v>8</v>
      </c>
      <c r="M20" s="207">
        <v>8</v>
      </c>
      <c r="N20" s="207">
        <v>4</v>
      </c>
      <c r="O20" s="207">
        <v>8</v>
      </c>
      <c r="P20" s="209">
        <v>8</v>
      </c>
      <c r="Q20" s="208">
        <v>2</v>
      </c>
      <c r="R20" s="207">
        <v>2</v>
      </c>
      <c r="S20" s="208" t="s">
        <v>344</v>
      </c>
      <c r="T20" s="207" t="s">
        <v>345</v>
      </c>
      <c r="U20" s="209" t="s">
        <v>349</v>
      </c>
    </row>
    <row r="21" spans="1:21">
      <c r="A21" s="380"/>
      <c r="B21" s="380"/>
      <c r="C21" s="208" t="s">
        <v>354</v>
      </c>
      <c r="D21" s="209" t="s">
        <v>355</v>
      </c>
      <c r="E21" s="210">
        <f t="shared" si="12"/>
        <v>37</v>
      </c>
      <c r="F21" s="210">
        <f t="shared" si="13"/>
        <v>31.5</v>
      </c>
      <c r="G21" s="211">
        <f t="shared" si="14"/>
        <v>7.34375</v>
      </c>
      <c r="H21" s="217">
        <f t="shared" ref="H21:H22" si="17">E21/E$6</f>
        <v>0.64912280701754388</v>
      </c>
      <c r="I21" s="218">
        <f t="shared" si="15"/>
        <v>0.64948453608247425</v>
      </c>
      <c r="J21" s="219">
        <f t="shared" si="15"/>
        <v>0.72755417956656343</v>
      </c>
      <c r="K21" s="208">
        <v>8</v>
      </c>
      <c r="L21" s="209">
        <v>4</v>
      </c>
      <c r="M21" s="207">
        <v>8</v>
      </c>
      <c r="N21" s="207">
        <v>4</v>
      </c>
      <c r="O21" s="207">
        <v>8</v>
      </c>
      <c r="P21" s="209">
        <v>4</v>
      </c>
      <c r="Q21" s="208">
        <v>1</v>
      </c>
      <c r="R21" s="207">
        <v>1</v>
      </c>
      <c r="S21" s="208" t="s">
        <v>380</v>
      </c>
      <c r="T21" s="207" t="s">
        <v>345</v>
      </c>
      <c r="U21" s="209" t="s">
        <v>349</v>
      </c>
    </row>
    <row r="22" spans="1:21">
      <c r="A22" s="380"/>
      <c r="B22" s="381"/>
      <c r="C22" s="225" t="s">
        <v>354</v>
      </c>
      <c r="D22" s="226" t="s">
        <v>358</v>
      </c>
      <c r="E22" s="210">
        <f t="shared" si="12"/>
        <v>28.5</v>
      </c>
      <c r="F22" s="210">
        <f t="shared" si="13"/>
        <v>24.25</v>
      </c>
      <c r="G22" s="211">
        <f t="shared" si="14"/>
        <v>7.34375</v>
      </c>
      <c r="H22" s="229">
        <f t="shared" si="17"/>
        <v>0.5</v>
      </c>
      <c r="I22" s="230">
        <f t="shared" si="15"/>
        <v>0.5</v>
      </c>
      <c r="J22" s="231">
        <f t="shared" si="15"/>
        <v>0.72755417956656343</v>
      </c>
      <c r="K22" s="225">
        <v>4</v>
      </c>
      <c r="L22" s="226">
        <v>8</v>
      </c>
      <c r="M22" s="232">
        <v>8</v>
      </c>
      <c r="N22" s="232">
        <v>4</v>
      </c>
      <c r="O22" s="232">
        <v>4</v>
      </c>
      <c r="P22" s="226">
        <v>8</v>
      </c>
      <c r="Q22" s="225">
        <v>1</v>
      </c>
      <c r="R22" s="232">
        <v>1</v>
      </c>
      <c r="S22" s="225" t="s">
        <v>344</v>
      </c>
      <c r="T22" s="232" t="s">
        <v>345</v>
      </c>
      <c r="U22" s="226" t="s">
        <v>349</v>
      </c>
    </row>
    <row r="23" spans="1:21">
      <c r="A23" s="380"/>
      <c r="B23" s="200"/>
      <c r="C23" s="201" t="s">
        <v>327</v>
      </c>
      <c r="D23" s="202" t="s">
        <v>328</v>
      </c>
      <c r="E23" s="203" t="s">
        <v>329</v>
      </c>
      <c r="F23" s="203" t="s">
        <v>340</v>
      </c>
      <c r="G23" s="204" t="s">
        <v>330</v>
      </c>
      <c r="H23" s="201" t="s">
        <v>360</v>
      </c>
      <c r="I23" s="205" t="s">
        <v>332</v>
      </c>
      <c r="J23" s="202" t="s">
        <v>361</v>
      </c>
      <c r="K23" s="206" t="s">
        <v>362</v>
      </c>
      <c r="L23" s="204" t="s">
        <v>363</v>
      </c>
      <c r="M23" s="205" t="s">
        <v>381</v>
      </c>
      <c r="N23" s="236" t="s">
        <v>382</v>
      </c>
      <c r="O23" s="203" t="s">
        <v>366</v>
      </c>
      <c r="P23" s="204" t="s">
        <v>367</v>
      </c>
      <c r="Q23" s="201" t="s">
        <v>338</v>
      </c>
      <c r="R23" s="205" t="s">
        <v>339</v>
      </c>
      <c r="S23" s="206"/>
      <c r="T23" s="203"/>
      <c r="U23" s="204"/>
    </row>
    <row r="24" spans="1:21">
      <c r="A24" s="380"/>
      <c r="B24" s="382" t="s">
        <v>383</v>
      </c>
      <c r="C24" s="208" t="s">
        <v>342</v>
      </c>
      <c r="D24" s="209" t="s">
        <v>342</v>
      </c>
      <c r="E24" s="210">
        <f t="shared" ref="E24:E29" si="18">IF(N24&gt;1,((O24*M24*(P24+N24-1)+O24*N24*P24)*Q24+(O24/2*M24/2*(P24/2+N24/2-1)+O24/2*N24/2*P24/2)*2*R24)*(K24/O24*L24/P24)/(K24*L24), ((O24*M24*P24*Q24+O24/2*M24/2*P24/2*2*R24)*(K24/O24*L24/P24)/(K24*L24)))</f>
        <v>20</v>
      </c>
      <c r="F24" s="210">
        <f t="shared" ref="F24:F29" si="19">IF(N24&gt;1, ((O24*(M24-1)*(P24+N24-1)+O24*(N24-1)*P24)*Q24+(O24/2*(M24/2-1)*(P24/2+N24/2-1)+O24/2*(N24/2-1)*P24/2)*2*R24)*(K24/O24*L24/P24)/(K24*L24), (O24*(M24-1)*P24*Q24+O24/2*(M24/2-1)*P24/2*2*R24)*(K24/O24*L24/P24)/(K24*L24))</f>
        <v>17</v>
      </c>
      <c r="G24" s="211">
        <f t="shared" ref="G24:G29" si="20">IF(N24&gt;1, ((O24+M24-1)*(P24+N24-1)*Q24+2*(O24/2+M24/2-1)*(P24/2+N24/2-1)*R24)*(K24/O24*L24/P24)/(K24*L24), ((O24+M24-1)*(P24)*Q24+2*(O24/2+M24/2-1)*(P24/2)*R24)*(K24/O24*L24/P24)/(K24*L24))</f>
        <v>8</v>
      </c>
      <c r="H24" s="217">
        <f>E24/E$6</f>
        <v>0.35087719298245612</v>
      </c>
      <c r="I24" s="218">
        <f t="shared" ref="I24:J29" si="21">F24/F$6</f>
        <v>0.35051546391752575</v>
      </c>
      <c r="J24" s="219">
        <f t="shared" si="21"/>
        <v>0.79256965944272451</v>
      </c>
      <c r="K24" s="208">
        <v>64</v>
      </c>
      <c r="L24" s="209">
        <v>64</v>
      </c>
      <c r="M24" s="207">
        <v>8</v>
      </c>
      <c r="N24" s="198">
        <v>1</v>
      </c>
      <c r="O24" s="207">
        <v>4</v>
      </c>
      <c r="P24" s="209">
        <v>8</v>
      </c>
      <c r="Q24" s="208">
        <v>2</v>
      </c>
      <c r="R24" s="207">
        <v>2</v>
      </c>
      <c r="S24" s="7" t="s">
        <v>384</v>
      </c>
      <c r="T24" s="207" t="s">
        <v>385</v>
      </c>
      <c r="U24" s="209" t="s">
        <v>386</v>
      </c>
    </row>
    <row r="25" spans="1:21">
      <c r="A25" s="380"/>
      <c r="B25" s="380"/>
      <c r="C25" s="208" t="s">
        <v>347</v>
      </c>
      <c r="D25" s="209" t="s">
        <v>347</v>
      </c>
      <c r="E25" s="210">
        <f t="shared" si="18"/>
        <v>20</v>
      </c>
      <c r="F25" s="210">
        <f t="shared" si="19"/>
        <v>17</v>
      </c>
      <c r="G25" s="211">
        <f t="shared" si="20"/>
        <v>8</v>
      </c>
      <c r="H25" s="217">
        <f t="shared" ref="H25:H26" si="22">E25/E$6</f>
        <v>0.35087719298245612</v>
      </c>
      <c r="I25" s="218">
        <f t="shared" si="21"/>
        <v>0.35051546391752575</v>
      </c>
      <c r="J25" s="219">
        <f t="shared" si="21"/>
        <v>0.79256965944272451</v>
      </c>
      <c r="K25" s="208">
        <v>32</v>
      </c>
      <c r="L25" s="209">
        <v>32</v>
      </c>
      <c r="M25" s="207">
        <v>8</v>
      </c>
      <c r="N25" s="198">
        <v>1</v>
      </c>
      <c r="O25" s="207">
        <v>4</v>
      </c>
      <c r="P25" s="209">
        <v>8</v>
      </c>
      <c r="Q25" s="208">
        <v>2</v>
      </c>
      <c r="R25" s="207">
        <v>2</v>
      </c>
      <c r="S25" s="208" t="s">
        <v>384</v>
      </c>
      <c r="T25" s="207" t="s">
        <v>385</v>
      </c>
      <c r="U25" s="209" t="s">
        <v>387</v>
      </c>
    </row>
    <row r="26" spans="1:21">
      <c r="A26" s="380"/>
      <c r="B26" s="380"/>
      <c r="C26" s="208" t="s">
        <v>350</v>
      </c>
      <c r="D26" s="209" t="s">
        <v>388</v>
      </c>
      <c r="E26" s="210">
        <f t="shared" si="18"/>
        <v>20</v>
      </c>
      <c r="F26" s="210">
        <f t="shared" si="19"/>
        <v>17</v>
      </c>
      <c r="G26" s="211">
        <f t="shared" si="20"/>
        <v>8</v>
      </c>
      <c r="H26" s="217">
        <f t="shared" si="22"/>
        <v>0.35087719298245612</v>
      </c>
      <c r="I26" s="218">
        <f t="shared" si="21"/>
        <v>0.35051546391752575</v>
      </c>
      <c r="J26" s="219">
        <f t="shared" si="21"/>
        <v>0.79256965944272451</v>
      </c>
      <c r="K26" s="208">
        <v>16</v>
      </c>
      <c r="L26" s="209">
        <v>16</v>
      </c>
      <c r="M26" s="207">
        <v>8</v>
      </c>
      <c r="N26" s="198">
        <v>1</v>
      </c>
      <c r="O26" s="207">
        <v>4</v>
      </c>
      <c r="P26" s="209">
        <v>8</v>
      </c>
      <c r="Q26" s="208">
        <v>2</v>
      </c>
      <c r="R26" s="207">
        <v>2</v>
      </c>
      <c r="S26" s="208" t="s">
        <v>384</v>
      </c>
      <c r="T26" s="207" t="s">
        <v>385</v>
      </c>
      <c r="U26" s="209" t="s">
        <v>387</v>
      </c>
    </row>
    <row r="27" spans="1:21">
      <c r="A27" s="380"/>
      <c r="B27" s="380"/>
      <c r="C27" s="208" t="s">
        <v>354</v>
      </c>
      <c r="D27" s="209" t="s">
        <v>354</v>
      </c>
      <c r="E27" s="210">
        <f t="shared" si="18"/>
        <v>20</v>
      </c>
      <c r="F27" s="210">
        <f t="shared" si="19"/>
        <v>17</v>
      </c>
      <c r="G27" s="211">
        <f t="shared" si="20"/>
        <v>8</v>
      </c>
      <c r="H27" s="217">
        <f>E27/E$6</f>
        <v>0.35087719298245612</v>
      </c>
      <c r="I27" s="218">
        <f t="shared" si="21"/>
        <v>0.35051546391752575</v>
      </c>
      <c r="J27" s="219">
        <f t="shared" si="21"/>
        <v>0.79256965944272451</v>
      </c>
      <c r="K27" s="208">
        <v>8</v>
      </c>
      <c r="L27" s="209">
        <v>8</v>
      </c>
      <c r="M27" s="207">
        <v>8</v>
      </c>
      <c r="N27" s="198">
        <v>1</v>
      </c>
      <c r="O27" s="207">
        <v>4</v>
      </c>
      <c r="P27" s="209">
        <v>8</v>
      </c>
      <c r="Q27" s="208">
        <v>2</v>
      </c>
      <c r="R27" s="207">
        <v>2</v>
      </c>
      <c r="S27" s="208" t="s">
        <v>389</v>
      </c>
      <c r="T27" s="207" t="s">
        <v>385</v>
      </c>
      <c r="U27" s="209" t="s">
        <v>387</v>
      </c>
    </row>
    <row r="28" spans="1:21">
      <c r="A28" s="380"/>
      <c r="B28" s="380"/>
      <c r="C28" s="208" t="s">
        <v>354</v>
      </c>
      <c r="D28" s="209" t="s">
        <v>390</v>
      </c>
      <c r="E28" s="210">
        <f t="shared" si="18"/>
        <v>10</v>
      </c>
      <c r="F28" s="210">
        <f t="shared" si="19"/>
        <v>8.5</v>
      </c>
      <c r="G28" s="211">
        <f t="shared" si="20"/>
        <v>2.75</v>
      </c>
      <c r="H28" s="217">
        <f t="shared" ref="H28:H29" si="23">E28/E$6</f>
        <v>0.17543859649122806</v>
      </c>
      <c r="I28" s="218">
        <f t="shared" si="21"/>
        <v>0.17525773195876287</v>
      </c>
      <c r="J28" s="219">
        <f t="shared" si="21"/>
        <v>0.27244582043343651</v>
      </c>
      <c r="K28" s="208">
        <v>8</v>
      </c>
      <c r="L28" s="209">
        <v>4</v>
      </c>
      <c r="M28" s="207">
        <v>8</v>
      </c>
      <c r="N28" s="198">
        <v>1</v>
      </c>
      <c r="O28" s="207">
        <v>8</v>
      </c>
      <c r="P28" s="209">
        <v>4</v>
      </c>
      <c r="Q28" s="208">
        <v>1</v>
      </c>
      <c r="R28" s="207">
        <v>1</v>
      </c>
      <c r="S28" s="208" t="s">
        <v>384</v>
      </c>
      <c r="T28" s="207" t="s">
        <v>385</v>
      </c>
      <c r="U28" s="209" t="s">
        <v>387</v>
      </c>
    </row>
    <row r="29" spans="1:21">
      <c r="A29" s="380"/>
      <c r="B29" s="381"/>
      <c r="C29" s="225" t="s">
        <v>354</v>
      </c>
      <c r="D29" s="226" t="s">
        <v>391</v>
      </c>
      <c r="E29" s="210">
        <f t="shared" si="18"/>
        <v>10</v>
      </c>
      <c r="F29" s="210">
        <f t="shared" si="19"/>
        <v>8.5</v>
      </c>
      <c r="G29" s="211">
        <f t="shared" si="20"/>
        <v>4</v>
      </c>
      <c r="H29" s="229">
        <f t="shared" si="23"/>
        <v>0.17543859649122806</v>
      </c>
      <c r="I29" s="230">
        <f t="shared" si="21"/>
        <v>0.17525773195876287</v>
      </c>
      <c r="J29" s="231">
        <f t="shared" si="21"/>
        <v>0.39628482972136225</v>
      </c>
      <c r="K29" s="225">
        <v>4</v>
      </c>
      <c r="L29" s="226">
        <v>8</v>
      </c>
      <c r="M29" s="232">
        <v>8</v>
      </c>
      <c r="N29" s="237">
        <v>1</v>
      </c>
      <c r="O29" s="232">
        <v>4</v>
      </c>
      <c r="P29" s="226">
        <v>8</v>
      </c>
      <c r="Q29" s="225">
        <v>1</v>
      </c>
      <c r="R29" s="232">
        <v>1</v>
      </c>
      <c r="S29" s="225" t="s">
        <v>392</v>
      </c>
      <c r="T29" s="232" t="s">
        <v>385</v>
      </c>
      <c r="U29" s="226" t="s">
        <v>387</v>
      </c>
    </row>
    <row r="30" spans="1:21">
      <c r="A30" s="380"/>
      <c r="B30" s="200"/>
      <c r="C30" s="201" t="s">
        <v>327</v>
      </c>
      <c r="D30" s="202" t="s">
        <v>373</v>
      </c>
      <c r="E30" s="203" t="s">
        <v>329</v>
      </c>
      <c r="F30" s="203" t="s">
        <v>393</v>
      </c>
      <c r="G30" s="204" t="s">
        <v>330</v>
      </c>
      <c r="H30" s="201" t="s">
        <v>360</v>
      </c>
      <c r="I30" s="205" t="s">
        <v>332</v>
      </c>
      <c r="J30" s="202" t="s">
        <v>361</v>
      </c>
      <c r="K30" s="206" t="s">
        <v>362</v>
      </c>
      <c r="L30" s="204" t="s">
        <v>363</v>
      </c>
      <c r="M30" s="236" t="s">
        <v>364</v>
      </c>
      <c r="N30" s="236" t="s">
        <v>337</v>
      </c>
      <c r="O30" s="8" t="s">
        <v>394</v>
      </c>
      <c r="P30" s="8" t="s">
        <v>395</v>
      </c>
      <c r="Q30" s="201" t="s">
        <v>338</v>
      </c>
      <c r="R30" s="205" t="s">
        <v>339</v>
      </c>
      <c r="S30" s="206"/>
      <c r="T30" s="203"/>
      <c r="U30" s="204"/>
    </row>
    <row r="31" spans="1:21">
      <c r="A31" s="380"/>
      <c r="B31" s="382" t="s">
        <v>396</v>
      </c>
      <c r="C31" s="208" t="s">
        <v>342</v>
      </c>
      <c r="D31" s="209" t="s">
        <v>342</v>
      </c>
      <c r="E31" s="210">
        <f t="shared" ref="E31:E36" si="24">((K31*M31*(L31+M31-1)+K31*M31*L31)*O31*Q31+(K31/2*N31*(L31/2+N31-1)+K31/2*N31*L31/2)*2*P31*R31)/(K31*L31)</f>
        <v>36.375</v>
      </c>
      <c r="F31" s="210">
        <f t="shared" ref="F31:F36" si="25">(((K31*(M31-1)*(L31+M31-1)+K31*(M31-1)*L31)*O31+K31*L31*(O31-1))*Q31+(((K31/2*(N31-1)*(L31/2+N31-1)+K31/2*(N31-1)*L31/2)*P31)+K31/2*L31/2*(P31-1))*2*R31)/(K31*L31)</f>
        <v>24.1875</v>
      </c>
      <c r="G31" s="211">
        <f t="shared" ref="G31:G36" si="26">((K31+M31-1)*(L31+M31-1)*O31*Q31+(K31/2+N31-1)*(L31/2+N31-1)*2*P31*R31)/(K31*L31)</f>
        <v>9.37939453125</v>
      </c>
      <c r="H31" s="217">
        <f>E31/E$6</f>
        <v>0.63815789473684215</v>
      </c>
      <c r="I31" s="218">
        <f t="shared" ref="I31:J36" si="27">F31/F$6</f>
        <v>0.49871134020618557</v>
      </c>
      <c r="J31" s="219">
        <f t="shared" si="27"/>
        <v>0.92922794117647056</v>
      </c>
      <c r="K31" s="208">
        <v>64</v>
      </c>
      <c r="L31" s="209">
        <v>64</v>
      </c>
      <c r="M31" s="198">
        <v>2</v>
      </c>
      <c r="N31" s="198">
        <v>2</v>
      </c>
      <c r="O31" s="215">
        <v>3</v>
      </c>
      <c r="P31" s="216">
        <v>3</v>
      </c>
      <c r="Q31" s="208">
        <v>2</v>
      </c>
      <c r="R31" s="207">
        <v>2</v>
      </c>
      <c r="S31" s="7" t="s">
        <v>397</v>
      </c>
      <c r="T31" s="8" t="s">
        <v>398</v>
      </c>
      <c r="U31" s="209" t="s">
        <v>356</v>
      </c>
    </row>
    <row r="32" spans="1:21">
      <c r="A32" s="380"/>
      <c r="B32" s="380"/>
      <c r="C32" s="208" t="s">
        <v>347</v>
      </c>
      <c r="D32" s="209" t="s">
        <v>347</v>
      </c>
      <c r="E32" s="210">
        <f t="shared" si="24"/>
        <v>36.75</v>
      </c>
      <c r="F32" s="210">
        <f t="shared" si="25"/>
        <v>24.375</v>
      </c>
      <c r="G32" s="211">
        <f t="shared" si="26"/>
        <v>9.767578125</v>
      </c>
      <c r="H32" s="217">
        <f t="shared" ref="H32:H33" si="28">E32/E$6</f>
        <v>0.64473684210526316</v>
      </c>
      <c r="I32" s="218">
        <f t="shared" si="27"/>
        <v>0.50257731958762886</v>
      </c>
      <c r="J32" s="219">
        <f t="shared" si="27"/>
        <v>0.9676857585139319</v>
      </c>
      <c r="K32" s="208">
        <v>32</v>
      </c>
      <c r="L32" s="209">
        <v>32</v>
      </c>
      <c r="M32" s="198">
        <v>2</v>
      </c>
      <c r="N32" s="198">
        <v>2</v>
      </c>
      <c r="O32" s="207">
        <v>3</v>
      </c>
      <c r="P32" s="209">
        <v>3</v>
      </c>
      <c r="Q32" s="208">
        <v>2</v>
      </c>
      <c r="R32" s="207">
        <v>2</v>
      </c>
      <c r="S32" s="7" t="s">
        <v>397</v>
      </c>
      <c r="T32" s="8" t="s">
        <v>398</v>
      </c>
      <c r="U32" s="209" t="s">
        <v>349</v>
      </c>
    </row>
    <row r="33" spans="1:21">
      <c r="A33" s="380"/>
      <c r="B33" s="380"/>
      <c r="C33" s="208" t="s">
        <v>350</v>
      </c>
      <c r="D33" s="209" t="s">
        <v>350</v>
      </c>
      <c r="E33" s="210">
        <f t="shared" si="24"/>
        <v>37.5</v>
      </c>
      <c r="F33" s="210">
        <f t="shared" si="25"/>
        <v>24.75</v>
      </c>
      <c r="G33" s="211">
        <f t="shared" si="26"/>
        <v>10.5703125</v>
      </c>
      <c r="H33" s="217">
        <f t="shared" si="28"/>
        <v>0.65789473684210531</v>
      </c>
      <c r="I33" s="218">
        <f t="shared" si="27"/>
        <v>0.51030927835051543</v>
      </c>
      <c r="J33" s="238">
        <f t="shared" si="27"/>
        <v>1.0472136222910218</v>
      </c>
      <c r="K33" s="208">
        <v>16</v>
      </c>
      <c r="L33" s="209">
        <v>16</v>
      </c>
      <c r="M33" s="198">
        <v>2</v>
      </c>
      <c r="N33" s="198">
        <v>2</v>
      </c>
      <c r="O33" s="207">
        <v>3</v>
      </c>
      <c r="P33" s="209">
        <v>3</v>
      </c>
      <c r="Q33" s="208">
        <v>2</v>
      </c>
      <c r="R33" s="207">
        <v>2</v>
      </c>
      <c r="S33" s="7" t="s">
        <v>397</v>
      </c>
      <c r="T33" s="8" t="s">
        <v>398</v>
      </c>
      <c r="U33" s="209" t="s">
        <v>349</v>
      </c>
    </row>
    <row r="34" spans="1:21">
      <c r="A34" s="380"/>
      <c r="B34" s="380"/>
      <c r="C34" s="208" t="s">
        <v>354</v>
      </c>
      <c r="D34" s="209" t="s">
        <v>357</v>
      </c>
      <c r="E34" s="210">
        <f t="shared" si="24"/>
        <v>39</v>
      </c>
      <c r="F34" s="210">
        <f t="shared" si="25"/>
        <v>25.5</v>
      </c>
      <c r="G34" s="211">
        <f t="shared" si="26"/>
        <v>12.28125</v>
      </c>
      <c r="H34" s="217">
        <f>E34/E$6</f>
        <v>0.68421052631578949</v>
      </c>
      <c r="I34" s="218">
        <f t="shared" si="27"/>
        <v>0.52577319587628868</v>
      </c>
      <c r="J34" s="238">
        <f t="shared" si="27"/>
        <v>1.21671826625387</v>
      </c>
      <c r="K34" s="208">
        <v>8</v>
      </c>
      <c r="L34" s="209">
        <v>8</v>
      </c>
      <c r="M34" s="198">
        <v>2</v>
      </c>
      <c r="N34" s="198">
        <v>2</v>
      </c>
      <c r="O34" s="207">
        <v>3</v>
      </c>
      <c r="P34" s="209">
        <v>3</v>
      </c>
      <c r="Q34" s="208">
        <v>2</v>
      </c>
      <c r="R34" s="207">
        <v>2</v>
      </c>
      <c r="S34" s="7" t="s">
        <v>397</v>
      </c>
      <c r="T34" s="8" t="s">
        <v>399</v>
      </c>
      <c r="U34" s="209" t="s">
        <v>349</v>
      </c>
    </row>
    <row r="35" spans="1:21">
      <c r="A35" s="380"/>
      <c r="B35" s="380"/>
      <c r="C35" s="239" t="s">
        <v>357</v>
      </c>
      <c r="D35" s="240" t="s">
        <v>355</v>
      </c>
      <c r="E35" s="241">
        <f t="shared" si="24"/>
        <v>21</v>
      </c>
      <c r="F35" s="241">
        <f t="shared" si="25"/>
        <v>13.5</v>
      </c>
      <c r="G35" s="242">
        <f t="shared" si="26"/>
        <v>7.03125</v>
      </c>
      <c r="H35" s="243">
        <f t="shared" ref="H35:H36" si="29">E35/E$6</f>
        <v>0.36842105263157893</v>
      </c>
      <c r="I35" s="244">
        <f t="shared" si="27"/>
        <v>0.27835051546391754</v>
      </c>
      <c r="J35" s="245">
        <f t="shared" si="27"/>
        <v>0.69659442724458209</v>
      </c>
      <c r="K35" s="239">
        <v>8</v>
      </c>
      <c r="L35" s="240">
        <v>4</v>
      </c>
      <c r="M35" s="246">
        <v>2</v>
      </c>
      <c r="N35" s="246">
        <v>2</v>
      </c>
      <c r="O35" s="247">
        <v>3</v>
      </c>
      <c r="P35" s="240">
        <v>3</v>
      </c>
      <c r="Q35" s="239">
        <v>1</v>
      </c>
      <c r="R35" s="247">
        <v>1</v>
      </c>
      <c r="S35" s="239" t="s">
        <v>397</v>
      </c>
      <c r="T35" s="247" t="s">
        <v>398</v>
      </c>
      <c r="U35" s="240" t="s">
        <v>349</v>
      </c>
    </row>
    <row r="36" spans="1:21">
      <c r="A36" s="380"/>
      <c r="B36" s="381"/>
      <c r="C36" s="248" t="s">
        <v>354</v>
      </c>
      <c r="D36" s="249" t="s">
        <v>358</v>
      </c>
      <c r="E36" s="241">
        <f t="shared" si="24"/>
        <v>19.5</v>
      </c>
      <c r="F36" s="241">
        <f t="shared" si="25"/>
        <v>12.75</v>
      </c>
      <c r="G36" s="242">
        <f t="shared" si="26"/>
        <v>7.03125</v>
      </c>
      <c r="H36" s="250">
        <f t="shared" si="29"/>
        <v>0.34210526315789475</v>
      </c>
      <c r="I36" s="251">
        <f t="shared" si="27"/>
        <v>0.26288659793814434</v>
      </c>
      <c r="J36" s="252">
        <f t="shared" si="27"/>
        <v>0.69659442724458209</v>
      </c>
      <c r="K36" s="239">
        <v>4</v>
      </c>
      <c r="L36" s="240">
        <v>8</v>
      </c>
      <c r="M36" s="246">
        <v>2</v>
      </c>
      <c r="N36" s="246">
        <v>2</v>
      </c>
      <c r="O36" s="253">
        <v>3</v>
      </c>
      <c r="P36" s="249">
        <v>3</v>
      </c>
      <c r="Q36" s="239">
        <v>1</v>
      </c>
      <c r="R36" s="247">
        <v>1</v>
      </c>
      <c r="S36" s="239" t="s">
        <v>397</v>
      </c>
      <c r="T36" s="247" t="s">
        <v>400</v>
      </c>
      <c r="U36" s="240" t="s">
        <v>349</v>
      </c>
    </row>
    <row r="37" spans="1:21">
      <c r="A37" s="380"/>
      <c r="B37" s="200"/>
      <c r="C37" s="201" t="s">
        <v>327</v>
      </c>
      <c r="D37" s="202" t="s">
        <v>373</v>
      </c>
      <c r="E37" s="203" t="s">
        <v>329</v>
      </c>
      <c r="F37" s="203" t="s">
        <v>340</v>
      </c>
      <c r="G37" s="204" t="s">
        <v>401</v>
      </c>
      <c r="H37" s="201" t="s">
        <v>360</v>
      </c>
      <c r="I37" s="205" t="s">
        <v>402</v>
      </c>
      <c r="J37" s="202" t="s">
        <v>361</v>
      </c>
      <c r="K37" s="206" t="s">
        <v>362</v>
      </c>
      <c r="L37" s="204" t="s">
        <v>403</v>
      </c>
      <c r="M37" s="203" t="s">
        <v>364</v>
      </c>
      <c r="N37" s="203" t="s">
        <v>337</v>
      </c>
      <c r="O37" s="205" t="s">
        <v>404</v>
      </c>
      <c r="P37" s="202" t="s">
        <v>405</v>
      </c>
      <c r="Q37" s="201" t="s">
        <v>338</v>
      </c>
      <c r="R37" s="205" t="s">
        <v>339</v>
      </c>
      <c r="S37" s="206"/>
      <c r="T37" s="203"/>
      <c r="U37" s="204"/>
    </row>
    <row r="38" spans="1:21">
      <c r="A38" s="380"/>
      <c r="B38" s="382" t="s">
        <v>406</v>
      </c>
      <c r="C38" s="208" t="s">
        <v>342</v>
      </c>
      <c r="D38" s="209" t="s">
        <v>342</v>
      </c>
      <c r="E38" s="210">
        <f t="shared" ref="E38:G43" si="30">E3+E45</f>
        <v>45.25732421875</v>
      </c>
      <c r="F38" s="210">
        <f t="shared" si="30"/>
        <v>39.0771484375</v>
      </c>
      <c r="G38" s="211">
        <f t="shared" si="30"/>
        <v>3.75146484375</v>
      </c>
      <c r="H38" s="217">
        <f>E38/E$6</f>
        <v>0.79398814418859653</v>
      </c>
      <c r="I38" s="218">
        <f t="shared" ref="I38:J43" si="31">F38/F$6</f>
        <v>0.80571440077319589</v>
      </c>
      <c r="J38" s="219">
        <f t="shared" si="31"/>
        <v>0.37166215170278638</v>
      </c>
      <c r="K38" s="208">
        <v>64</v>
      </c>
      <c r="L38" s="209">
        <v>64</v>
      </c>
      <c r="M38" s="207">
        <v>8</v>
      </c>
      <c r="N38" s="207">
        <v>4</v>
      </c>
      <c r="Q38" s="208">
        <v>2</v>
      </c>
      <c r="R38" s="207">
        <v>2</v>
      </c>
      <c r="S38" s="208"/>
      <c r="U38" s="209"/>
    </row>
    <row r="39" spans="1:21">
      <c r="A39" s="380"/>
      <c r="B39" s="380"/>
      <c r="C39" s="208" t="s">
        <v>347</v>
      </c>
      <c r="D39" s="209" t="s">
        <v>347</v>
      </c>
      <c r="E39" s="210">
        <f t="shared" si="30"/>
        <v>47.529296875</v>
      </c>
      <c r="F39" s="210">
        <f t="shared" si="30"/>
        <v>41.18359375</v>
      </c>
      <c r="G39" s="211">
        <f t="shared" si="30"/>
        <v>4.568359375</v>
      </c>
      <c r="H39" s="217">
        <f t="shared" ref="H39:H40" si="32">E39/E$6</f>
        <v>0.83384731359649122</v>
      </c>
      <c r="I39" s="218">
        <f t="shared" si="31"/>
        <v>0.84914626288659789</v>
      </c>
      <c r="J39" s="219">
        <f t="shared" si="31"/>
        <v>0.45259287925696595</v>
      </c>
      <c r="K39" s="208">
        <v>32</v>
      </c>
      <c r="L39" s="209">
        <v>32</v>
      </c>
      <c r="M39" s="207">
        <v>8</v>
      </c>
      <c r="N39" s="207">
        <v>4</v>
      </c>
      <c r="Q39" s="208">
        <v>2</v>
      </c>
      <c r="R39" s="207">
        <v>2</v>
      </c>
      <c r="S39" s="208"/>
      <c r="U39" s="209"/>
    </row>
    <row r="40" spans="1:21">
      <c r="A40" s="380"/>
      <c r="B40" s="380"/>
      <c r="C40" s="208" t="s">
        <v>350</v>
      </c>
      <c r="D40" s="209" t="s">
        <v>407</v>
      </c>
      <c r="E40" s="210">
        <f t="shared" si="30"/>
        <v>52.1171875</v>
      </c>
      <c r="F40" s="210">
        <f t="shared" si="30"/>
        <v>45.484375</v>
      </c>
      <c r="G40" s="211">
        <f t="shared" si="30"/>
        <v>6.3984375</v>
      </c>
      <c r="H40" s="217">
        <f t="shared" si="32"/>
        <v>0.91433662280701755</v>
      </c>
      <c r="I40" s="218">
        <f t="shared" si="31"/>
        <v>0.93782216494845361</v>
      </c>
      <c r="J40" s="219">
        <f t="shared" si="31"/>
        <v>0.63390092879256965</v>
      </c>
      <c r="K40" s="208">
        <v>16</v>
      </c>
      <c r="L40" s="209">
        <v>16</v>
      </c>
      <c r="M40" s="207">
        <v>8</v>
      </c>
      <c r="N40" s="207">
        <v>4</v>
      </c>
      <c r="Q40" s="208">
        <v>2</v>
      </c>
      <c r="R40" s="207">
        <v>2</v>
      </c>
      <c r="S40" s="208"/>
      <c r="U40" s="209"/>
    </row>
    <row r="41" spans="1:21">
      <c r="A41" s="380"/>
      <c r="B41" s="380"/>
      <c r="C41" s="208" t="s">
        <v>354</v>
      </c>
      <c r="D41" s="209" t="s">
        <v>357</v>
      </c>
      <c r="E41" s="210">
        <f t="shared" si="30"/>
        <v>59.65625</v>
      </c>
      <c r="F41" s="210">
        <f t="shared" si="30"/>
        <v>51.8125</v>
      </c>
      <c r="G41" s="211">
        <f t="shared" si="30"/>
        <v>10.46875</v>
      </c>
      <c r="H41" s="254">
        <f>E41/E$6</f>
        <v>1.0466008771929824</v>
      </c>
      <c r="I41" s="255">
        <f t="shared" si="31"/>
        <v>1.0682989690721649</v>
      </c>
      <c r="J41" s="238">
        <f t="shared" si="31"/>
        <v>1.0371517027863777</v>
      </c>
      <c r="K41" s="208">
        <v>8</v>
      </c>
      <c r="L41" s="209">
        <v>8</v>
      </c>
      <c r="M41" s="207">
        <v>8</v>
      </c>
      <c r="N41" s="207">
        <v>4</v>
      </c>
      <c r="Q41" s="208">
        <v>2</v>
      </c>
      <c r="R41" s="207">
        <v>2</v>
      </c>
      <c r="S41" s="208"/>
      <c r="U41" s="209"/>
    </row>
    <row r="42" spans="1:21">
      <c r="A42" s="380"/>
      <c r="B42" s="380"/>
      <c r="C42" s="256" t="s">
        <v>354</v>
      </c>
      <c r="D42" s="257" t="s">
        <v>390</v>
      </c>
      <c r="E42" s="258">
        <f t="shared" si="30"/>
        <v>38.53125</v>
      </c>
      <c r="F42" s="258">
        <f t="shared" si="30"/>
        <v>33.5625</v>
      </c>
      <c r="G42" s="259">
        <f t="shared" si="30"/>
        <v>7.65625</v>
      </c>
      <c r="H42" s="243">
        <f t="shared" ref="H42:H43" si="33">E42/E$6</f>
        <v>0.67598684210526316</v>
      </c>
      <c r="I42" s="244">
        <f t="shared" si="31"/>
        <v>0.6920103092783505</v>
      </c>
      <c r="J42" s="245">
        <f t="shared" si="31"/>
        <v>0.75851393188854488</v>
      </c>
      <c r="K42" s="256">
        <v>8</v>
      </c>
      <c r="L42" s="257">
        <v>4</v>
      </c>
      <c r="M42" s="260">
        <v>8</v>
      </c>
      <c r="N42" s="260">
        <v>4</v>
      </c>
      <c r="Q42" s="256">
        <v>1</v>
      </c>
      <c r="R42" s="260">
        <v>1</v>
      </c>
      <c r="S42" s="256"/>
      <c r="T42" s="260"/>
      <c r="U42" s="257"/>
    </row>
    <row r="43" spans="1:21">
      <c r="A43" s="380"/>
      <c r="B43" s="381"/>
      <c r="C43" s="261" t="s">
        <v>354</v>
      </c>
      <c r="D43" s="262" t="s">
        <v>358</v>
      </c>
      <c r="E43" s="263">
        <f t="shared" si="30"/>
        <v>30.03125</v>
      </c>
      <c r="F43" s="263">
        <f t="shared" si="30"/>
        <v>26.3125</v>
      </c>
      <c r="G43" s="264">
        <f t="shared" si="30"/>
        <v>7.59375</v>
      </c>
      <c r="H43" s="250">
        <f t="shared" si="33"/>
        <v>0.52686403508771928</v>
      </c>
      <c r="I43" s="251">
        <f t="shared" si="31"/>
        <v>0.54252577319587625</v>
      </c>
      <c r="J43" s="252">
        <f t="shared" si="31"/>
        <v>0.75232198142414863</v>
      </c>
      <c r="K43" s="261">
        <v>4</v>
      </c>
      <c r="L43" s="262">
        <v>8</v>
      </c>
      <c r="M43" s="265">
        <v>8</v>
      </c>
      <c r="N43" s="265">
        <v>4</v>
      </c>
      <c r="Q43" s="261">
        <v>1</v>
      </c>
      <c r="R43" s="265">
        <v>1</v>
      </c>
      <c r="S43" s="261"/>
      <c r="T43" s="265"/>
      <c r="U43" s="262"/>
    </row>
    <row r="44" spans="1:21">
      <c r="A44" s="380"/>
      <c r="B44" s="200"/>
      <c r="C44" s="201" t="s">
        <v>372</v>
      </c>
      <c r="D44" s="202" t="s">
        <v>373</v>
      </c>
      <c r="E44" s="203" t="s">
        <v>329</v>
      </c>
      <c r="F44" s="203" t="s">
        <v>340</v>
      </c>
      <c r="G44" s="204" t="s">
        <v>330</v>
      </c>
      <c r="H44" s="201" t="s">
        <v>331</v>
      </c>
      <c r="I44" s="205" t="s">
        <v>332</v>
      </c>
      <c r="J44" s="202" t="s">
        <v>333</v>
      </c>
      <c r="K44" s="201" t="s">
        <v>362</v>
      </c>
      <c r="L44" s="202" t="s">
        <v>363</v>
      </c>
      <c r="M44" s="236" t="s">
        <v>364</v>
      </c>
      <c r="N44" s="236" t="s">
        <v>337</v>
      </c>
      <c r="O44" s="205" t="s">
        <v>404</v>
      </c>
      <c r="P44" s="202" t="s">
        <v>405</v>
      </c>
      <c r="Q44" s="201" t="s">
        <v>408</v>
      </c>
      <c r="R44" s="205" t="s">
        <v>339</v>
      </c>
      <c r="S44" s="206"/>
      <c r="T44" s="203"/>
      <c r="U44" s="204"/>
    </row>
    <row r="45" spans="1:21">
      <c r="A45" s="380"/>
      <c r="B45" s="382" t="s">
        <v>409</v>
      </c>
      <c r="C45" s="208" t="s">
        <v>342</v>
      </c>
      <c r="D45" s="209" t="s">
        <v>342</v>
      </c>
      <c r="E45" s="210">
        <f t="shared" ref="E45:E50" si="34">(IF(M45&gt;0,K45*L45+M45*(K45+L45)*2+5, 0) *Q45+IF(N45&gt;0,K45/2*L45/2+N45*(K45/2+L45/2)*2+5, 0) *2*R45)/(K45*L45)</f>
        <v>3.13232421875</v>
      </c>
      <c r="F45" s="210">
        <f t="shared" ref="F45:F50" si="35">(IF(M45&gt;0,K45*L45+M45*(K45+L45)*4+10, 0) *Q45+IF(N45&gt;0,K45/2*L45/2+N45*(K45/2+L45/2)*4+10, 0) *2*R45)/(K45*L45)</f>
        <v>3.2646484375</v>
      </c>
      <c r="G45" s="211">
        <f t="shared" ref="G45:G50" si="36">((K45+M45*L45)*Q45+(K45/2+N45*L45/2)*2*R45)/(K45*L45)</f>
        <v>9.375E-2</v>
      </c>
      <c r="H45" s="208"/>
      <c r="J45" s="209"/>
      <c r="K45" s="208">
        <v>64</v>
      </c>
      <c r="L45" s="209">
        <v>64</v>
      </c>
      <c r="M45" s="198">
        <v>0.5</v>
      </c>
      <c r="N45" s="198">
        <v>0.5</v>
      </c>
      <c r="Q45" s="208">
        <v>2</v>
      </c>
      <c r="R45" s="207">
        <v>2</v>
      </c>
      <c r="S45" s="208" t="s">
        <v>410</v>
      </c>
      <c r="T45" s="207" t="s">
        <v>411</v>
      </c>
      <c r="U45" s="9" t="s">
        <v>412</v>
      </c>
    </row>
    <row r="46" spans="1:21">
      <c r="A46" s="380"/>
      <c r="B46" s="380"/>
      <c r="C46" s="208" t="s">
        <v>347</v>
      </c>
      <c r="D46" s="209" t="s">
        <v>347</v>
      </c>
      <c r="E46" s="210">
        <f t="shared" si="34"/>
        <v>3.279296875</v>
      </c>
      <c r="F46" s="210">
        <f t="shared" si="35"/>
        <v>3.55859375</v>
      </c>
      <c r="G46" s="211">
        <f t="shared" si="36"/>
        <v>0.1875</v>
      </c>
      <c r="H46" s="208"/>
      <c r="J46" s="209"/>
      <c r="K46" s="208">
        <v>32</v>
      </c>
      <c r="L46" s="209">
        <v>32</v>
      </c>
      <c r="M46" s="198">
        <v>0.5</v>
      </c>
      <c r="N46" s="198">
        <v>0.5</v>
      </c>
      <c r="Q46" s="208">
        <v>2</v>
      </c>
      <c r="R46" s="207">
        <v>2</v>
      </c>
      <c r="S46" s="208" t="s">
        <v>410</v>
      </c>
      <c r="T46" s="207" t="s">
        <v>413</v>
      </c>
      <c r="U46" s="9" t="s">
        <v>414</v>
      </c>
    </row>
    <row r="47" spans="1:21">
      <c r="A47" s="380"/>
      <c r="B47" s="380"/>
      <c r="C47" s="208" t="s">
        <v>350</v>
      </c>
      <c r="D47" s="209" t="s">
        <v>350</v>
      </c>
      <c r="E47" s="210">
        <f t="shared" si="34"/>
        <v>3.6171875</v>
      </c>
      <c r="F47" s="210">
        <f t="shared" si="35"/>
        <v>4.234375</v>
      </c>
      <c r="G47" s="211">
        <f t="shared" si="36"/>
        <v>0.375</v>
      </c>
      <c r="H47" s="208"/>
      <c r="J47" s="209"/>
      <c r="K47" s="208">
        <v>16</v>
      </c>
      <c r="L47" s="209">
        <v>16</v>
      </c>
      <c r="M47" s="198">
        <v>0.5</v>
      </c>
      <c r="N47" s="198">
        <v>0.5</v>
      </c>
      <c r="Q47" s="208">
        <v>2</v>
      </c>
      <c r="R47" s="207">
        <v>2</v>
      </c>
      <c r="S47" s="208" t="s">
        <v>415</v>
      </c>
      <c r="T47" s="207" t="s">
        <v>413</v>
      </c>
      <c r="U47" s="9" t="s">
        <v>414</v>
      </c>
    </row>
    <row r="48" spans="1:21">
      <c r="A48" s="380"/>
      <c r="B48" s="380"/>
      <c r="C48" s="208" t="s">
        <v>379</v>
      </c>
      <c r="D48" s="209" t="s">
        <v>354</v>
      </c>
      <c r="E48" s="210">
        <f t="shared" si="34"/>
        <v>2.65625</v>
      </c>
      <c r="F48" s="210">
        <f t="shared" si="35"/>
        <v>3.3125</v>
      </c>
      <c r="G48" s="211">
        <f t="shared" si="36"/>
        <v>0.375</v>
      </c>
      <c r="H48" s="208"/>
      <c r="J48" s="209"/>
      <c r="K48" s="208">
        <v>8</v>
      </c>
      <c r="L48" s="209">
        <v>8</v>
      </c>
      <c r="M48" s="198">
        <v>0.5</v>
      </c>
      <c r="N48" s="198">
        <v>0.5</v>
      </c>
      <c r="Q48" s="208">
        <v>2</v>
      </c>
      <c r="R48" s="198">
        <v>0</v>
      </c>
      <c r="S48" s="208" t="s">
        <v>415</v>
      </c>
      <c r="T48" s="207" t="s">
        <v>413</v>
      </c>
      <c r="U48" s="9" t="s">
        <v>412</v>
      </c>
    </row>
    <row r="49" spans="1:21">
      <c r="A49" s="380"/>
      <c r="B49" s="380"/>
      <c r="C49" s="256" t="s">
        <v>354</v>
      </c>
      <c r="D49" s="257" t="s">
        <v>390</v>
      </c>
      <c r="E49" s="258">
        <f t="shared" si="34"/>
        <v>1.53125</v>
      </c>
      <c r="F49" s="258">
        <f t="shared" si="35"/>
        <v>2.0625</v>
      </c>
      <c r="G49" s="259">
        <f t="shared" si="36"/>
        <v>0.3125</v>
      </c>
      <c r="H49" s="208"/>
      <c r="J49" s="209"/>
      <c r="K49" s="256">
        <v>8</v>
      </c>
      <c r="L49" s="257">
        <v>4</v>
      </c>
      <c r="M49" s="266">
        <v>0.5</v>
      </c>
      <c r="N49" s="266">
        <v>0.5</v>
      </c>
      <c r="Q49" s="256">
        <v>1</v>
      </c>
      <c r="R49" s="260">
        <v>0</v>
      </c>
      <c r="S49" s="256" t="s">
        <v>410</v>
      </c>
      <c r="T49" s="260" t="s">
        <v>413</v>
      </c>
      <c r="U49" s="240" t="s">
        <v>412</v>
      </c>
    </row>
    <row r="50" spans="1:21">
      <c r="A50" s="381"/>
      <c r="B50" s="381"/>
      <c r="C50" s="256" t="s">
        <v>354</v>
      </c>
      <c r="D50" s="257" t="s">
        <v>358</v>
      </c>
      <c r="E50" s="258">
        <f t="shared" si="34"/>
        <v>1.53125</v>
      </c>
      <c r="F50" s="258">
        <f t="shared" si="35"/>
        <v>2.0625</v>
      </c>
      <c r="G50" s="259">
        <f t="shared" si="36"/>
        <v>0.25</v>
      </c>
      <c r="H50" s="225"/>
      <c r="I50" s="232"/>
      <c r="J50" s="226"/>
      <c r="K50" s="256">
        <v>4</v>
      </c>
      <c r="L50" s="257">
        <v>8</v>
      </c>
      <c r="M50" s="266">
        <v>0.5</v>
      </c>
      <c r="N50" s="266">
        <v>0.5</v>
      </c>
      <c r="Q50" s="256">
        <v>1</v>
      </c>
      <c r="R50" s="260">
        <v>0</v>
      </c>
      <c r="S50" s="256" t="s">
        <v>415</v>
      </c>
      <c r="T50" s="260" t="s">
        <v>411</v>
      </c>
      <c r="U50" s="240" t="s">
        <v>412</v>
      </c>
    </row>
    <row r="51" spans="1:21" ht="13.5" customHeight="1">
      <c r="A51" s="379" t="s">
        <v>416</v>
      </c>
      <c r="B51" s="200"/>
      <c r="C51" s="201" t="s">
        <v>327</v>
      </c>
      <c r="D51" s="202" t="s">
        <v>373</v>
      </c>
      <c r="E51" s="203" t="s">
        <v>329</v>
      </c>
      <c r="F51" s="203" t="s">
        <v>340</v>
      </c>
      <c r="G51" s="204" t="s">
        <v>330</v>
      </c>
      <c r="H51" s="201" t="s">
        <v>360</v>
      </c>
      <c r="I51" s="205" t="s">
        <v>332</v>
      </c>
      <c r="J51" s="202" t="s">
        <v>361</v>
      </c>
      <c r="K51" s="201" t="s">
        <v>362</v>
      </c>
      <c r="L51" s="202" t="s">
        <v>363</v>
      </c>
      <c r="M51" s="205" t="s">
        <v>381</v>
      </c>
      <c r="N51" s="236" t="s">
        <v>417</v>
      </c>
      <c r="O51" s="203" t="s">
        <v>366</v>
      </c>
      <c r="P51" s="204" t="s">
        <v>367</v>
      </c>
      <c r="Q51" s="201" t="s">
        <v>338</v>
      </c>
      <c r="R51" s="205" t="s">
        <v>339</v>
      </c>
      <c r="S51" s="206"/>
      <c r="T51" s="203"/>
      <c r="U51" s="204"/>
    </row>
    <row r="52" spans="1:21">
      <c r="A52" s="380"/>
      <c r="B52" s="382" t="s">
        <v>418</v>
      </c>
      <c r="C52" s="208" t="s">
        <v>342</v>
      </c>
      <c r="D52" s="209" t="s">
        <v>342</v>
      </c>
      <c r="E52" s="210">
        <f t="shared" ref="E52:E57" si="37">IF(N52&gt;1,((O52*M52*(P52+N52-1)+O52*N52*P52)*Q52+(O52/2*M52/2*(P52/2+N52/2-1)+O52/2*N52/2*P52/2)*2*R52)*(K52/O52*L52/P52)/(K52*L52), ((O52*M52*P52*Q52+O52/2*M52/2*P52/2*2*R52)*(K52/O52*L52/P52)/(K52*L52)))</f>
        <v>74</v>
      </c>
      <c r="F52" s="210">
        <f t="shared" ref="F52:F57" si="38">IF(N52&gt;1, ((O52*(M52-1)*(P52+N52-1)+O52*(N52-1)*P52)*Q52+(O52/2*(M52/2-1)*(P52/2+N52/2-1)+O52/2*(N52/2-1)*P52/2)*2*R52)*(K52/O52*L52/P52)/(K52*L52), (O52*(M52-1)*P52*Q52+O52/2*(M52/2-1)*P52/2*2*R52)*(K52/O52*L52/P52)/(K52*L52))</f>
        <v>63</v>
      </c>
      <c r="G52" s="211">
        <f t="shared" ref="G52:G57" si="39">IF(N52&gt;1, ((O52+M52-1)*(P52+N52-1)*Q52+2*(O52/2+M52/2-1)*(P52/2+N52/2-1)*R52)*(K52/O52*L52/P52)/(K52*L52), ((O52+M52-1)*(P52)*Q52+2*(O52/2+M52/2-1)*(P52/2)*R52)*(K52/O52*L52/P52)/(K52*L52))</f>
        <v>14.6875</v>
      </c>
      <c r="H52" s="254">
        <f>E52/E$6</f>
        <v>1.2982456140350878</v>
      </c>
      <c r="I52" s="255">
        <f t="shared" ref="I52:J57" si="40">F52/F$6</f>
        <v>1.2989690721649485</v>
      </c>
      <c r="J52" s="238">
        <f t="shared" si="40"/>
        <v>1.4551083591331269</v>
      </c>
      <c r="K52" s="208">
        <v>64</v>
      </c>
      <c r="L52" s="209">
        <v>64</v>
      </c>
      <c r="M52" s="207">
        <v>8</v>
      </c>
      <c r="N52" s="198">
        <v>8</v>
      </c>
      <c r="O52" s="207">
        <v>8</v>
      </c>
      <c r="P52" s="209">
        <v>4</v>
      </c>
      <c r="Q52" s="208">
        <v>2</v>
      </c>
      <c r="R52" s="207">
        <v>2</v>
      </c>
      <c r="S52" s="208" t="s">
        <v>419</v>
      </c>
      <c r="T52" s="207" t="s">
        <v>420</v>
      </c>
      <c r="U52" s="209" t="s">
        <v>421</v>
      </c>
    </row>
    <row r="53" spans="1:21">
      <c r="A53" s="380"/>
      <c r="B53" s="380"/>
      <c r="C53" s="208" t="s">
        <v>347</v>
      </c>
      <c r="D53" s="209" t="s">
        <v>347</v>
      </c>
      <c r="E53" s="210">
        <f t="shared" si="37"/>
        <v>74</v>
      </c>
      <c r="F53" s="210">
        <f t="shared" si="38"/>
        <v>63</v>
      </c>
      <c r="G53" s="211">
        <f t="shared" si="39"/>
        <v>14.6875</v>
      </c>
      <c r="H53" s="254">
        <f t="shared" ref="H53:H54" si="41">E53/E$6</f>
        <v>1.2982456140350878</v>
      </c>
      <c r="I53" s="255">
        <f t="shared" si="40"/>
        <v>1.2989690721649485</v>
      </c>
      <c r="J53" s="238">
        <f t="shared" si="40"/>
        <v>1.4551083591331269</v>
      </c>
      <c r="K53" s="208">
        <v>32</v>
      </c>
      <c r="L53" s="209">
        <v>32</v>
      </c>
      <c r="M53" s="207">
        <v>8</v>
      </c>
      <c r="N53" s="198">
        <v>8</v>
      </c>
      <c r="O53" s="207">
        <v>8</v>
      </c>
      <c r="P53" s="209">
        <v>4</v>
      </c>
      <c r="Q53" s="208">
        <v>2</v>
      </c>
      <c r="R53" s="207">
        <v>2</v>
      </c>
      <c r="S53" s="208" t="s">
        <v>422</v>
      </c>
      <c r="T53" s="207" t="s">
        <v>423</v>
      </c>
      <c r="U53" s="209" t="s">
        <v>424</v>
      </c>
    </row>
    <row r="54" spans="1:21">
      <c r="A54" s="380"/>
      <c r="B54" s="380"/>
      <c r="C54" s="208" t="s">
        <v>350</v>
      </c>
      <c r="D54" s="209" t="s">
        <v>350</v>
      </c>
      <c r="E54" s="210">
        <f t="shared" si="37"/>
        <v>74</v>
      </c>
      <c r="F54" s="210">
        <f t="shared" si="38"/>
        <v>63</v>
      </c>
      <c r="G54" s="211">
        <f t="shared" si="39"/>
        <v>14.6875</v>
      </c>
      <c r="H54" s="254">
        <f t="shared" si="41"/>
        <v>1.2982456140350878</v>
      </c>
      <c r="I54" s="255">
        <f t="shared" si="40"/>
        <v>1.2989690721649485</v>
      </c>
      <c r="J54" s="238">
        <f t="shared" si="40"/>
        <v>1.4551083591331269</v>
      </c>
      <c r="K54" s="208">
        <v>16</v>
      </c>
      <c r="L54" s="209">
        <v>16</v>
      </c>
      <c r="M54" s="207">
        <v>8</v>
      </c>
      <c r="N54" s="198">
        <v>8</v>
      </c>
      <c r="O54" s="207">
        <v>8</v>
      </c>
      <c r="P54" s="209">
        <v>4</v>
      </c>
      <c r="Q54" s="208">
        <v>2</v>
      </c>
      <c r="R54" s="207">
        <v>2</v>
      </c>
      <c r="S54" s="208" t="s">
        <v>422</v>
      </c>
      <c r="T54" s="207" t="s">
        <v>423</v>
      </c>
      <c r="U54" s="209" t="s">
        <v>425</v>
      </c>
    </row>
    <row r="55" spans="1:21">
      <c r="A55" s="380"/>
      <c r="B55" s="380"/>
      <c r="C55" s="208" t="s">
        <v>354</v>
      </c>
      <c r="D55" s="209" t="s">
        <v>354</v>
      </c>
      <c r="E55" s="210">
        <f t="shared" si="37"/>
        <v>74</v>
      </c>
      <c r="F55" s="210">
        <f t="shared" si="38"/>
        <v>63</v>
      </c>
      <c r="G55" s="211">
        <f t="shared" si="39"/>
        <v>14.6875</v>
      </c>
      <c r="H55" s="254">
        <f>E55/E$6</f>
        <v>1.2982456140350878</v>
      </c>
      <c r="I55" s="255">
        <f t="shared" si="40"/>
        <v>1.2989690721649485</v>
      </c>
      <c r="J55" s="238">
        <f t="shared" si="40"/>
        <v>1.4551083591331269</v>
      </c>
      <c r="K55" s="208">
        <v>8</v>
      </c>
      <c r="L55" s="209">
        <v>8</v>
      </c>
      <c r="M55" s="207">
        <v>8</v>
      </c>
      <c r="N55" s="198">
        <v>8</v>
      </c>
      <c r="O55" s="207">
        <v>8</v>
      </c>
      <c r="P55" s="209">
        <v>4</v>
      </c>
      <c r="Q55" s="208">
        <v>2</v>
      </c>
      <c r="R55" s="207">
        <v>2</v>
      </c>
      <c r="S55" s="208" t="s">
        <v>426</v>
      </c>
      <c r="T55" s="207" t="s">
        <v>423</v>
      </c>
      <c r="U55" s="209" t="s">
        <v>425</v>
      </c>
    </row>
    <row r="56" spans="1:21">
      <c r="A56" s="380"/>
      <c r="B56" s="380"/>
      <c r="C56" s="208" t="s">
        <v>357</v>
      </c>
      <c r="D56" s="209" t="s">
        <v>355</v>
      </c>
      <c r="E56" s="210">
        <f t="shared" si="37"/>
        <v>37</v>
      </c>
      <c r="F56" s="210">
        <f t="shared" si="38"/>
        <v>31.5</v>
      </c>
      <c r="G56" s="211">
        <f t="shared" si="39"/>
        <v>7.34375</v>
      </c>
      <c r="H56" s="217">
        <f t="shared" ref="H56:H57" si="42">E56/E$6</f>
        <v>0.64912280701754388</v>
      </c>
      <c r="I56" s="218">
        <f t="shared" si="40"/>
        <v>0.64948453608247425</v>
      </c>
      <c r="J56" s="219">
        <f t="shared" si="40"/>
        <v>0.72755417956656343</v>
      </c>
      <c r="K56" s="208">
        <v>8</v>
      </c>
      <c r="L56" s="209">
        <v>4</v>
      </c>
      <c r="M56" s="207">
        <v>8</v>
      </c>
      <c r="N56" s="198">
        <v>8</v>
      </c>
      <c r="O56" s="207">
        <v>8</v>
      </c>
      <c r="P56" s="209">
        <v>4</v>
      </c>
      <c r="Q56" s="208">
        <v>1</v>
      </c>
      <c r="R56" s="207">
        <v>1</v>
      </c>
      <c r="S56" s="208" t="s">
        <v>422</v>
      </c>
      <c r="T56" s="207" t="s">
        <v>423</v>
      </c>
      <c r="U56" s="209" t="s">
        <v>424</v>
      </c>
    </row>
    <row r="57" spans="1:21">
      <c r="A57" s="380"/>
      <c r="B57" s="381"/>
      <c r="C57" s="225" t="s">
        <v>354</v>
      </c>
      <c r="D57" s="226" t="s">
        <v>358</v>
      </c>
      <c r="E57" s="210">
        <f t="shared" si="37"/>
        <v>28.5</v>
      </c>
      <c r="F57" s="210">
        <f t="shared" si="38"/>
        <v>24.25</v>
      </c>
      <c r="G57" s="211">
        <f t="shared" si="39"/>
        <v>7.34375</v>
      </c>
      <c r="H57" s="229">
        <f t="shared" si="42"/>
        <v>0.5</v>
      </c>
      <c r="I57" s="230">
        <f t="shared" si="40"/>
        <v>0.5</v>
      </c>
      <c r="J57" s="231">
        <f t="shared" si="40"/>
        <v>0.72755417956656343</v>
      </c>
      <c r="K57" s="225">
        <v>4</v>
      </c>
      <c r="L57" s="226">
        <v>8</v>
      </c>
      <c r="M57" s="232">
        <v>8</v>
      </c>
      <c r="N57" s="237">
        <v>8</v>
      </c>
      <c r="O57" s="232">
        <v>4</v>
      </c>
      <c r="P57" s="226">
        <v>8</v>
      </c>
      <c r="Q57" s="225">
        <v>1</v>
      </c>
      <c r="R57" s="232">
        <v>1</v>
      </c>
      <c r="S57" s="225" t="s">
        <v>422</v>
      </c>
      <c r="T57" s="232" t="s">
        <v>427</v>
      </c>
      <c r="U57" s="226" t="s">
        <v>424</v>
      </c>
    </row>
    <row r="58" spans="1:21">
      <c r="A58" s="380"/>
      <c r="B58" s="200"/>
      <c r="C58" s="201" t="s">
        <v>327</v>
      </c>
      <c r="D58" s="202" t="s">
        <v>373</v>
      </c>
      <c r="E58" s="203" t="s">
        <v>329</v>
      </c>
      <c r="F58" s="203" t="s">
        <v>340</v>
      </c>
      <c r="G58" s="204" t="s">
        <v>401</v>
      </c>
      <c r="H58" s="201" t="s">
        <v>360</v>
      </c>
      <c r="I58" s="205" t="s">
        <v>402</v>
      </c>
      <c r="J58" s="202" t="s">
        <v>361</v>
      </c>
      <c r="K58" s="201" t="s">
        <v>362</v>
      </c>
      <c r="L58" s="202" t="s">
        <v>403</v>
      </c>
      <c r="M58" s="236" t="s">
        <v>364</v>
      </c>
      <c r="N58" s="236" t="s">
        <v>337</v>
      </c>
      <c r="O58" s="205" t="s">
        <v>404</v>
      </c>
      <c r="P58" s="202" t="s">
        <v>405</v>
      </c>
      <c r="Q58" s="201" t="s">
        <v>338</v>
      </c>
      <c r="R58" s="205" t="s">
        <v>339</v>
      </c>
      <c r="S58" s="206"/>
      <c r="T58" s="203"/>
      <c r="U58" s="204"/>
    </row>
    <row r="59" spans="1:21">
      <c r="A59" s="380"/>
      <c r="B59" s="382" t="s">
        <v>428</v>
      </c>
      <c r="C59" s="208" t="s">
        <v>342</v>
      </c>
      <c r="D59" s="209" t="s">
        <v>342</v>
      </c>
      <c r="E59" s="210">
        <f t="shared" ref="E59:E64" si="43">((K59*M59*(L59+M59-1)+K59*M59*L59)*O59*Q59+(K59/2*N59*(L59/2+N59-1)+K59/2*N59*L59/2)*2*P59*R59)/(K59*L59)</f>
        <v>126.375</v>
      </c>
      <c r="F59" s="210">
        <f t="shared" ref="F59:F64" si="44">(((K59*(M59-1)*(L59+M59-1)+K59*(M59-1)*L59)*O59+K59*L59*(O59-1))*Q59+(((K59/2*(N59-1)*(L59/2+N59-1)+K59/2*(N59-1)*L59/2)*P59)+K59/2*L59/2*(P59-1))*2*R59)/(K59*L59)</f>
        <v>113.4375</v>
      </c>
      <c r="G59" s="211">
        <f t="shared" ref="G59:G64" si="45">((K59+M59-1)*(L59+M59-1)*O59*Q59+(K59/2+N59-1)*(L59/2+N59-1)*2*P59*R59)/(K59*L59)</f>
        <v>10.97314453125</v>
      </c>
      <c r="H59" s="254">
        <f>E59/E$6</f>
        <v>2.2171052631578947</v>
      </c>
      <c r="I59" s="255">
        <f t="shared" ref="I59:J64" si="46">F59/F$6</f>
        <v>2.338917525773196</v>
      </c>
      <c r="J59" s="238">
        <f t="shared" si="46"/>
        <v>1.0871226780185759</v>
      </c>
      <c r="K59" s="208">
        <v>64</v>
      </c>
      <c r="L59" s="209">
        <v>64</v>
      </c>
      <c r="M59" s="198">
        <v>8</v>
      </c>
      <c r="N59" s="198">
        <v>4</v>
      </c>
      <c r="O59" s="207">
        <v>3</v>
      </c>
      <c r="P59" s="207">
        <v>3</v>
      </c>
      <c r="Q59" s="208">
        <v>2</v>
      </c>
      <c r="R59" s="207">
        <v>2</v>
      </c>
      <c r="S59" s="7" t="s">
        <v>397</v>
      </c>
      <c r="T59" s="8" t="s">
        <v>399</v>
      </c>
      <c r="U59" s="209" t="s">
        <v>349</v>
      </c>
    </row>
    <row r="60" spans="1:21">
      <c r="A60" s="380"/>
      <c r="B60" s="380"/>
      <c r="C60" s="208" t="s">
        <v>376</v>
      </c>
      <c r="D60" s="209" t="s">
        <v>347</v>
      </c>
      <c r="E60" s="210">
        <f t="shared" si="43"/>
        <v>132.75</v>
      </c>
      <c r="F60" s="210">
        <f t="shared" si="44"/>
        <v>118.875</v>
      </c>
      <c r="G60" s="211">
        <f t="shared" si="45"/>
        <v>13.142578125</v>
      </c>
      <c r="H60" s="254">
        <f t="shared" ref="H60:H61" si="47">E60/E$6</f>
        <v>2.3289473684210527</v>
      </c>
      <c r="I60" s="255">
        <f t="shared" si="46"/>
        <v>2.4510309278350517</v>
      </c>
      <c r="J60" s="238">
        <f t="shared" si="46"/>
        <v>1.3020510835913313</v>
      </c>
      <c r="K60" s="208">
        <v>32</v>
      </c>
      <c r="L60" s="209">
        <v>32</v>
      </c>
      <c r="M60" s="198">
        <v>8</v>
      </c>
      <c r="N60" s="198">
        <v>4</v>
      </c>
      <c r="O60" s="207">
        <v>3</v>
      </c>
      <c r="P60" s="207">
        <v>3</v>
      </c>
      <c r="Q60" s="208">
        <v>2</v>
      </c>
      <c r="R60" s="207">
        <v>2</v>
      </c>
      <c r="S60" s="7" t="s">
        <v>397</v>
      </c>
      <c r="T60" s="8" t="s">
        <v>398</v>
      </c>
      <c r="U60" s="209" t="s">
        <v>356</v>
      </c>
    </row>
    <row r="61" spans="1:21">
      <c r="A61" s="380"/>
      <c r="B61" s="380"/>
      <c r="C61" s="208" t="s">
        <v>350</v>
      </c>
      <c r="D61" s="209" t="s">
        <v>350</v>
      </c>
      <c r="E61" s="210">
        <f t="shared" si="43"/>
        <v>145.5</v>
      </c>
      <c r="F61" s="210">
        <f t="shared" si="44"/>
        <v>129.75</v>
      </c>
      <c r="G61" s="211">
        <f t="shared" si="45"/>
        <v>18.0703125</v>
      </c>
      <c r="H61" s="254">
        <f t="shared" si="47"/>
        <v>2.5526315789473686</v>
      </c>
      <c r="I61" s="255">
        <f t="shared" si="46"/>
        <v>2.6752577319587627</v>
      </c>
      <c r="J61" s="238">
        <f t="shared" si="46"/>
        <v>1.7902476780185759</v>
      </c>
      <c r="K61" s="208">
        <v>16</v>
      </c>
      <c r="L61" s="209">
        <v>16</v>
      </c>
      <c r="M61" s="198">
        <v>8</v>
      </c>
      <c r="N61" s="198">
        <v>4</v>
      </c>
      <c r="O61" s="207">
        <v>3</v>
      </c>
      <c r="P61" s="207">
        <v>3</v>
      </c>
      <c r="Q61" s="208">
        <v>2</v>
      </c>
      <c r="R61" s="207">
        <v>2</v>
      </c>
      <c r="S61" s="7" t="s">
        <v>397</v>
      </c>
      <c r="T61" s="8" t="s">
        <v>398</v>
      </c>
      <c r="U61" s="209" t="s">
        <v>349</v>
      </c>
    </row>
    <row r="62" spans="1:21">
      <c r="A62" s="380"/>
      <c r="B62" s="380"/>
      <c r="C62" s="208" t="s">
        <v>354</v>
      </c>
      <c r="D62" s="209" t="s">
        <v>354</v>
      </c>
      <c r="E62" s="210">
        <f t="shared" si="43"/>
        <v>171</v>
      </c>
      <c r="F62" s="210">
        <f t="shared" si="44"/>
        <v>151.5</v>
      </c>
      <c r="G62" s="211">
        <f t="shared" si="45"/>
        <v>30.28125</v>
      </c>
      <c r="H62" s="254">
        <f>E62/E$6</f>
        <v>3</v>
      </c>
      <c r="I62" s="255">
        <f t="shared" si="46"/>
        <v>3.1237113402061856</v>
      </c>
      <c r="J62" s="238">
        <f t="shared" si="46"/>
        <v>3</v>
      </c>
      <c r="K62" s="208">
        <v>8</v>
      </c>
      <c r="L62" s="209">
        <v>8</v>
      </c>
      <c r="M62" s="198">
        <v>8</v>
      </c>
      <c r="N62" s="198">
        <v>4</v>
      </c>
      <c r="O62" s="207">
        <v>3</v>
      </c>
      <c r="P62" s="207">
        <v>3</v>
      </c>
      <c r="Q62" s="208">
        <v>2</v>
      </c>
      <c r="R62" s="207">
        <v>2</v>
      </c>
      <c r="S62" s="7" t="s">
        <v>397</v>
      </c>
      <c r="T62" s="8" t="s">
        <v>398</v>
      </c>
      <c r="U62" s="209" t="s">
        <v>378</v>
      </c>
    </row>
    <row r="63" spans="1:21">
      <c r="A63" s="380"/>
      <c r="B63" s="380"/>
      <c r="C63" s="267" t="s">
        <v>354</v>
      </c>
      <c r="D63" s="268" t="s">
        <v>355</v>
      </c>
      <c r="E63" s="269">
        <f t="shared" si="43"/>
        <v>111</v>
      </c>
      <c r="F63" s="269">
        <f t="shared" si="44"/>
        <v>97.5</v>
      </c>
      <c r="G63" s="270">
        <f t="shared" si="45"/>
        <v>22.03125</v>
      </c>
      <c r="H63" s="271">
        <f t="shared" ref="H63:H64" si="48">E63/E$6</f>
        <v>1.9473684210526316</v>
      </c>
      <c r="I63" s="272">
        <f t="shared" si="46"/>
        <v>2.0103092783505154</v>
      </c>
      <c r="J63" s="273">
        <f t="shared" si="46"/>
        <v>2.1826625386996903</v>
      </c>
      <c r="K63" s="267">
        <v>8</v>
      </c>
      <c r="L63" s="268">
        <v>4</v>
      </c>
      <c r="M63" s="274">
        <v>8</v>
      </c>
      <c r="N63" s="274">
        <v>4</v>
      </c>
      <c r="O63" s="275">
        <v>3</v>
      </c>
      <c r="P63" s="275">
        <v>3</v>
      </c>
      <c r="Q63" s="267">
        <v>1</v>
      </c>
      <c r="R63" s="275">
        <v>1</v>
      </c>
      <c r="S63" s="267" t="s">
        <v>397</v>
      </c>
      <c r="T63" s="275" t="s">
        <v>398</v>
      </c>
      <c r="U63" s="268" t="s">
        <v>349</v>
      </c>
    </row>
    <row r="64" spans="1:21">
      <c r="A64" s="380"/>
      <c r="B64" s="381"/>
      <c r="C64" s="276" t="s">
        <v>354</v>
      </c>
      <c r="D64" s="277" t="s">
        <v>358</v>
      </c>
      <c r="E64" s="269">
        <f t="shared" si="43"/>
        <v>85.5</v>
      </c>
      <c r="F64" s="269">
        <f t="shared" si="44"/>
        <v>75.75</v>
      </c>
      <c r="G64" s="270">
        <f t="shared" si="45"/>
        <v>22.03125</v>
      </c>
      <c r="H64" s="278">
        <f t="shared" si="48"/>
        <v>1.5</v>
      </c>
      <c r="I64" s="279">
        <f t="shared" si="46"/>
        <v>1.5618556701030928</v>
      </c>
      <c r="J64" s="280">
        <f t="shared" si="46"/>
        <v>2.1826625386996903</v>
      </c>
      <c r="K64" s="267">
        <v>4</v>
      </c>
      <c r="L64" s="268">
        <v>8</v>
      </c>
      <c r="M64" s="274">
        <v>8</v>
      </c>
      <c r="N64" s="274">
        <v>4</v>
      </c>
      <c r="O64" s="275">
        <v>3</v>
      </c>
      <c r="P64" s="275">
        <v>3</v>
      </c>
      <c r="Q64" s="267">
        <v>1</v>
      </c>
      <c r="R64" s="275">
        <v>1</v>
      </c>
      <c r="S64" s="267" t="s">
        <v>397</v>
      </c>
      <c r="T64" s="275" t="s">
        <v>398</v>
      </c>
      <c r="U64" s="268" t="s">
        <v>349</v>
      </c>
    </row>
    <row r="65" spans="1:21">
      <c r="A65" s="380"/>
      <c r="B65" s="200"/>
      <c r="C65" s="201" t="s">
        <v>327</v>
      </c>
      <c r="D65" s="202" t="s">
        <v>328</v>
      </c>
      <c r="E65" s="203" t="s">
        <v>25</v>
      </c>
      <c r="F65" s="203" t="s">
        <v>393</v>
      </c>
      <c r="G65" s="204" t="s">
        <v>330</v>
      </c>
      <c r="H65" s="201" t="s">
        <v>360</v>
      </c>
      <c r="I65" s="205" t="s">
        <v>332</v>
      </c>
      <c r="J65" s="202" t="s">
        <v>333</v>
      </c>
      <c r="K65" s="206" t="s">
        <v>334</v>
      </c>
      <c r="L65" s="204" t="s">
        <v>363</v>
      </c>
      <c r="M65" s="203" t="s">
        <v>364</v>
      </c>
      <c r="N65" s="203" t="s">
        <v>429</v>
      </c>
      <c r="O65" s="203"/>
      <c r="P65" s="204"/>
      <c r="Q65" s="201" t="s">
        <v>338</v>
      </c>
      <c r="R65" s="205" t="s">
        <v>339</v>
      </c>
      <c r="S65" s="206"/>
      <c r="T65" s="203"/>
      <c r="U65" s="204"/>
    </row>
    <row r="66" spans="1:21">
      <c r="A66" s="380"/>
      <c r="B66" s="379" t="s">
        <v>430</v>
      </c>
      <c r="C66" s="208" t="s">
        <v>342</v>
      </c>
      <c r="D66" s="209" t="s">
        <v>342</v>
      </c>
      <c r="E66" s="281">
        <f t="shared" ref="E66:G71" si="49">E3+E73</f>
        <v>45.38232421875</v>
      </c>
      <c r="F66" s="282">
        <f t="shared" si="49"/>
        <v>39.3271484375</v>
      </c>
      <c r="G66" s="283">
        <f t="shared" si="49"/>
        <v>3.78271484375</v>
      </c>
      <c r="H66" s="217">
        <f>E66/E$6</f>
        <v>0.79618112664473684</v>
      </c>
      <c r="I66" s="218">
        <f t="shared" ref="I66:J71" si="50">F66/F$6</f>
        <v>0.81086903994845361</v>
      </c>
      <c r="J66" s="219">
        <f t="shared" si="50"/>
        <v>0.3747581269349845</v>
      </c>
      <c r="K66" s="208">
        <v>64</v>
      </c>
      <c r="L66" s="209">
        <v>64</v>
      </c>
      <c r="M66" s="207">
        <v>8</v>
      </c>
      <c r="N66" s="207">
        <v>4</v>
      </c>
      <c r="Q66" s="208">
        <v>2</v>
      </c>
      <c r="R66" s="207">
        <v>2</v>
      </c>
      <c r="S66" s="208"/>
      <c r="U66" s="209"/>
    </row>
    <row r="67" spans="1:21">
      <c r="A67" s="380"/>
      <c r="B67" s="380"/>
      <c r="C67" s="208" t="s">
        <v>347</v>
      </c>
      <c r="D67" s="209" t="s">
        <v>347</v>
      </c>
      <c r="E67" s="284">
        <f t="shared" si="49"/>
        <v>47.779296875</v>
      </c>
      <c r="F67" s="210">
        <f t="shared" si="49"/>
        <v>41.68359375</v>
      </c>
      <c r="G67" s="211">
        <f t="shared" si="49"/>
        <v>4.630859375</v>
      </c>
      <c r="H67" s="217">
        <f t="shared" ref="H67:H68" si="51">E67/E$6</f>
        <v>0.83823327850877194</v>
      </c>
      <c r="I67" s="218">
        <f t="shared" si="50"/>
        <v>0.85945554123711343</v>
      </c>
      <c r="J67" s="219">
        <f t="shared" si="50"/>
        <v>0.45878482972136225</v>
      </c>
      <c r="K67" s="208">
        <v>32</v>
      </c>
      <c r="L67" s="209">
        <v>32</v>
      </c>
      <c r="M67" s="207">
        <v>8</v>
      </c>
      <c r="N67" s="207">
        <v>4</v>
      </c>
      <c r="Q67" s="208">
        <v>2</v>
      </c>
      <c r="R67" s="207">
        <v>2</v>
      </c>
      <c r="S67" s="208"/>
      <c r="U67" s="209"/>
    </row>
    <row r="68" spans="1:21">
      <c r="A68" s="380"/>
      <c r="B68" s="380"/>
      <c r="C68" s="208" t="s">
        <v>350</v>
      </c>
      <c r="D68" s="209" t="s">
        <v>350</v>
      </c>
      <c r="E68" s="284">
        <f t="shared" si="49"/>
        <v>52.6171875</v>
      </c>
      <c r="F68" s="210">
        <f t="shared" si="49"/>
        <v>46.484375</v>
      </c>
      <c r="G68" s="211">
        <f t="shared" si="49"/>
        <v>6.5234375</v>
      </c>
      <c r="H68" s="217">
        <f t="shared" si="51"/>
        <v>0.92310855263157898</v>
      </c>
      <c r="I68" s="218">
        <f t="shared" si="50"/>
        <v>0.95844072164948457</v>
      </c>
      <c r="J68" s="219">
        <f t="shared" si="50"/>
        <v>0.64628482972136225</v>
      </c>
      <c r="K68" s="208">
        <v>16</v>
      </c>
      <c r="L68" s="209">
        <v>16</v>
      </c>
      <c r="M68" s="207">
        <v>8</v>
      </c>
      <c r="N68" s="207">
        <v>4</v>
      </c>
      <c r="Q68" s="208">
        <v>2</v>
      </c>
      <c r="R68" s="207">
        <v>2</v>
      </c>
      <c r="S68" s="208"/>
      <c r="U68" s="209"/>
    </row>
    <row r="69" spans="1:21">
      <c r="A69" s="380"/>
      <c r="B69" s="380"/>
      <c r="C69" s="208" t="s">
        <v>357</v>
      </c>
      <c r="D69" s="209" t="s">
        <v>354</v>
      </c>
      <c r="E69" s="284">
        <f t="shared" si="49"/>
        <v>62.46875</v>
      </c>
      <c r="F69" s="210">
        <f t="shared" si="49"/>
        <v>56.4375</v>
      </c>
      <c r="G69" s="211">
        <f t="shared" si="49"/>
        <v>11.09375</v>
      </c>
      <c r="H69" s="254">
        <f>E69/E$6</f>
        <v>1.0959429824561404</v>
      </c>
      <c r="I69" s="255">
        <f t="shared" si="50"/>
        <v>1.1636597938144331</v>
      </c>
      <c r="J69" s="238">
        <f t="shared" si="50"/>
        <v>1.0990712074303406</v>
      </c>
      <c r="K69" s="208">
        <v>8</v>
      </c>
      <c r="L69" s="209">
        <v>8</v>
      </c>
      <c r="M69" s="207">
        <v>8</v>
      </c>
      <c r="N69" s="207">
        <v>4</v>
      </c>
      <c r="Q69" s="208">
        <v>2</v>
      </c>
      <c r="R69" s="207">
        <v>2</v>
      </c>
      <c r="S69" s="208"/>
      <c r="U69" s="209"/>
    </row>
    <row r="70" spans="1:21">
      <c r="A70" s="380"/>
      <c r="B70" s="380"/>
      <c r="C70" s="267" t="s">
        <v>354</v>
      </c>
      <c r="D70" s="268" t="s">
        <v>355</v>
      </c>
      <c r="E70" s="285">
        <f t="shared" si="49"/>
        <v>40.46875</v>
      </c>
      <c r="F70" s="269">
        <f t="shared" si="49"/>
        <v>36.9375</v>
      </c>
      <c r="G70" s="270">
        <f t="shared" si="49"/>
        <v>8.09375</v>
      </c>
      <c r="H70" s="286">
        <f t="shared" ref="H70:H71" si="52">E70/E$6</f>
        <v>0.70997807017543857</v>
      </c>
      <c r="I70" s="287">
        <f t="shared" si="50"/>
        <v>0.76159793814432986</v>
      </c>
      <c r="J70" s="288">
        <f t="shared" si="50"/>
        <v>0.80185758513931893</v>
      </c>
      <c r="K70" s="267">
        <v>8</v>
      </c>
      <c r="L70" s="268">
        <v>4</v>
      </c>
      <c r="M70" s="275">
        <v>8</v>
      </c>
      <c r="N70" s="275">
        <v>4</v>
      </c>
      <c r="O70" s="275"/>
      <c r="P70" s="275"/>
      <c r="Q70" s="267">
        <v>1</v>
      </c>
      <c r="R70" s="275">
        <v>1</v>
      </c>
      <c r="S70" s="267"/>
      <c r="T70" s="275"/>
      <c r="U70" s="268"/>
    </row>
    <row r="71" spans="1:21">
      <c r="A71" s="380"/>
      <c r="B71" s="381"/>
      <c r="C71" s="276" t="s">
        <v>354</v>
      </c>
      <c r="D71" s="277" t="s">
        <v>358</v>
      </c>
      <c r="E71" s="289">
        <f t="shared" si="49"/>
        <v>31.96875</v>
      </c>
      <c r="F71" s="290">
        <f t="shared" si="49"/>
        <v>29.6875</v>
      </c>
      <c r="G71" s="291">
        <f t="shared" si="49"/>
        <v>8.09375</v>
      </c>
      <c r="H71" s="292">
        <f t="shared" si="52"/>
        <v>0.56085526315789469</v>
      </c>
      <c r="I71" s="293">
        <f t="shared" si="50"/>
        <v>0.61211340206185572</v>
      </c>
      <c r="J71" s="294">
        <f t="shared" si="50"/>
        <v>0.80185758513931893</v>
      </c>
      <c r="K71" s="276">
        <v>4</v>
      </c>
      <c r="L71" s="277">
        <v>8</v>
      </c>
      <c r="M71" s="295">
        <v>8</v>
      </c>
      <c r="N71" s="295">
        <v>4</v>
      </c>
      <c r="O71" s="275"/>
      <c r="P71" s="275"/>
      <c r="Q71" s="276">
        <v>1</v>
      </c>
      <c r="R71" s="295">
        <v>1</v>
      </c>
      <c r="S71" s="276"/>
      <c r="T71" s="295"/>
      <c r="U71" s="277"/>
    </row>
    <row r="72" spans="1:21">
      <c r="A72" s="380"/>
      <c r="B72" s="200"/>
      <c r="C72" s="201" t="s">
        <v>327</v>
      </c>
      <c r="D72" s="202" t="s">
        <v>373</v>
      </c>
      <c r="E72" s="203" t="s">
        <v>329</v>
      </c>
      <c r="F72" s="203" t="s">
        <v>78</v>
      </c>
      <c r="G72" s="204" t="s">
        <v>330</v>
      </c>
      <c r="H72" s="201" t="s">
        <v>431</v>
      </c>
      <c r="I72" s="205" t="s">
        <v>332</v>
      </c>
      <c r="J72" s="202" t="s">
        <v>361</v>
      </c>
      <c r="K72" s="201" t="s">
        <v>362</v>
      </c>
      <c r="L72" s="202" t="s">
        <v>363</v>
      </c>
      <c r="M72" s="205" t="s">
        <v>364</v>
      </c>
      <c r="N72" s="205" t="s">
        <v>337</v>
      </c>
      <c r="O72" s="203"/>
      <c r="P72" s="204"/>
      <c r="Q72" s="201" t="s">
        <v>432</v>
      </c>
      <c r="R72" s="205" t="s">
        <v>339</v>
      </c>
      <c r="S72" s="206"/>
      <c r="T72" s="203"/>
      <c r="U72" s="204"/>
    </row>
    <row r="73" spans="1:21">
      <c r="A73" s="380"/>
      <c r="B73" s="382" t="s">
        <v>433</v>
      </c>
      <c r="C73" s="208" t="s">
        <v>342</v>
      </c>
      <c r="D73" s="209" t="s">
        <v>342</v>
      </c>
      <c r="E73" s="210">
        <f t="shared" ref="E73:E78" si="53">(IF(M73&gt;0,K73*L73+M73*(K73+L73)*2+5, 0) *Q73+IF(N73&gt;0,K73/2*L73/2+N73*(K73/2+L73/2)*2+5, 0) *2*R73)/(K73*L73)</f>
        <v>3.25732421875</v>
      </c>
      <c r="F73" s="210">
        <f t="shared" ref="F73:F78" si="54">(IF(M73&gt;0,K73*L73+M73*(K73+L73)*4+10, 0) *Q73+IF(N73&gt;0,K73/2*L73/2+N73*(K73/2+L73/2)*4+10, 0) *2*R73)/(K73*L73)</f>
        <v>3.5146484375</v>
      </c>
      <c r="G73" s="211">
        <f t="shared" ref="G73:G78" si="55">((K73+M73*L73)*Q73+(K73/2+N73*L73/2)*2*R73)/(K73*L73)</f>
        <v>0.125</v>
      </c>
      <c r="H73" s="208"/>
      <c r="J73" s="209"/>
      <c r="K73" s="208">
        <v>64</v>
      </c>
      <c r="L73" s="209">
        <v>64</v>
      </c>
      <c r="M73" s="198">
        <v>1</v>
      </c>
      <c r="N73" s="198">
        <v>1</v>
      </c>
      <c r="O73" s="215"/>
      <c r="P73" s="216"/>
      <c r="Q73" s="208">
        <v>2</v>
      </c>
      <c r="R73" s="207">
        <v>2</v>
      </c>
      <c r="S73" s="208" t="s">
        <v>410</v>
      </c>
      <c r="T73" s="207" t="s">
        <v>413</v>
      </c>
      <c r="U73" s="9" t="s">
        <v>414</v>
      </c>
    </row>
    <row r="74" spans="1:21">
      <c r="A74" s="380"/>
      <c r="B74" s="380"/>
      <c r="C74" s="208" t="s">
        <v>376</v>
      </c>
      <c r="D74" s="209" t="s">
        <v>347</v>
      </c>
      <c r="E74" s="210">
        <f t="shared" si="53"/>
        <v>3.529296875</v>
      </c>
      <c r="F74" s="210">
        <f t="shared" si="54"/>
        <v>4.05859375</v>
      </c>
      <c r="G74" s="211">
        <f t="shared" si="55"/>
        <v>0.25</v>
      </c>
      <c r="H74" s="208"/>
      <c r="J74" s="209"/>
      <c r="K74" s="208">
        <v>32</v>
      </c>
      <c r="L74" s="209">
        <v>32</v>
      </c>
      <c r="M74" s="198">
        <v>1</v>
      </c>
      <c r="N74" s="198">
        <v>1</v>
      </c>
      <c r="P74" s="209"/>
      <c r="Q74" s="208">
        <v>2</v>
      </c>
      <c r="R74" s="207">
        <v>2</v>
      </c>
      <c r="S74" s="208" t="s">
        <v>410</v>
      </c>
      <c r="T74" s="207" t="s">
        <v>413</v>
      </c>
      <c r="U74" s="9" t="s">
        <v>412</v>
      </c>
    </row>
    <row r="75" spans="1:21">
      <c r="A75" s="380"/>
      <c r="B75" s="380"/>
      <c r="C75" s="208" t="s">
        <v>407</v>
      </c>
      <c r="D75" s="209" t="s">
        <v>350</v>
      </c>
      <c r="E75" s="210">
        <f t="shared" si="53"/>
        <v>4.1171875</v>
      </c>
      <c r="F75" s="210">
        <f t="shared" si="54"/>
        <v>5.234375</v>
      </c>
      <c r="G75" s="211">
        <f t="shared" si="55"/>
        <v>0.5</v>
      </c>
      <c r="H75" s="208"/>
      <c r="J75" s="209"/>
      <c r="K75" s="208">
        <v>16</v>
      </c>
      <c r="L75" s="209">
        <v>16</v>
      </c>
      <c r="M75" s="198">
        <v>1</v>
      </c>
      <c r="N75" s="198">
        <v>1</v>
      </c>
      <c r="P75" s="209"/>
      <c r="Q75" s="208">
        <v>2</v>
      </c>
      <c r="R75" s="207">
        <v>2</v>
      </c>
      <c r="S75" s="208" t="s">
        <v>415</v>
      </c>
      <c r="T75" s="207" t="s">
        <v>413</v>
      </c>
      <c r="U75" s="9" t="s">
        <v>412</v>
      </c>
    </row>
    <row r="76" spans="1:21">
      <c r="A76" s="380"/>
      <c r="B76" s="380"/>
      <c r="C76" s="208" t="s">
        <v>354</v>
      </c>
      <c r="D76" s="209" t="s">
        <v>354</v>
      </c>
      <c r="E76" s="210">
        <f t="shared" si="53"/>
        <v>5.46875</v>
      </c>
      <c r="F76" s="210">
        <f t="shared" si="54"/>
        <v>7.9375</v>
      </c>
      <c r="G76" s="211">
        <f t="shared" si="55"/>
        <v>1</v>
      </c>
      <c r="H76" s="208"/>
      <c r="J76" s="209"/>
      <c r="K76" s="208">
        <v>8</v>
      </c>
      <c r="L76" s="209">
        <v>8</v>
      </c>
      <c r="M76" s="198">
        <v>1</v>
      </c>
      <c r="N76" s="198">
        <v>1</v>
      </c>
      <c r="P76" s="209"/>
      <c r="Q76" s="208">
        <v>2</v>
      </c>
      <c r="R76" s="198">
        <v>2</v>
      </c>
      <c r="S76" s="208" t="s">
        <v>410</v>
      </c>
      <c r="T76" s="207" t="s">
        <v>413</v>
      </c>
      <c r="U76" s="9" t="s">
        <v>412</v>
      </c>
    </row>
    <row r="77" spans="1:21">
      <c r="A77" s="380"/>
      <c r="B77" s="380"/>
      <c r="C77" s="208" t="s">
        <v>354</v>
      </c>
      <c r="D77" s="209" t="s">
        <v>355</v>
      </c>
      <c r="E77" s="210">
        <f t="shared" si="53"/>
        <v>3.46875</v>
      </c>
      <c r="F77" s="210">
        <f t="shared" si="54"/>
        <v>5.4375</v>
      </c>
      <c r="G77" s="211">
        <f t="shared" si="55"/>
        <v>0.75</v>
      </c>
      <c r="H77" s="208"/>
      <c r="J77" s="209"/>
      <c r="K77" s="208">
        <v>8</v>
      </c>
      <c r="L77" s="209">
        <v>4</v>
      </c>
      <c r="M77" s="198">
        <v>1</v>
      </c>
      <c r="N77" s="198">
        <v>1</v>
      </c>
      <c r="P77" s="209"/>
      <c r="Q77" s="208">
        <v>1</v>
      </c>
      <c r="R77" s="207">
        <v>1</v>
      </c>
      <c r="S77" s="208" t="s">
        <v>415</v>
      </c>
      <c r="T77" s="207" t="s">
        <v>434</v>
      </c>
      <c r="U77" s="9" t="s">
        <v>435</v>
      </c>
    </row>
    <row r="78" spans="1:21">
      <c r="A78" s="381"/>
      <c r="B78" s="381"/>
      <c r="C78" s="225" t="s">
        <v>379</v>
      </c>
      <c r="D78" s="226" t="s">
        <v>358</v>
      </c>
      <c r="E78" s="227">
        <f t="shared" si="53"/>
        <v>3.46875</v>
      </c>
      <c r="F78" s="227">
        <f t="shared" si="54"/>
        <v>5.4375</v>
      </c>
      <c r="G78" s="228">
        <f t="shared" si="55"/>
        <v>0.75</v>
      </c>
      <c r="H78" s="225"/>
      <c r="I78" s="232"/>
      <c r="J78" s="226"/>
      <c r="K78" s="225">
        <v>4</v>
      </c>
      <c r="L78" s="226">
        <v>8</v>
      </c>
      <c r="M78" s="237">
        <v>1</v>
      </c>
      <c r="N78" s="237">
        <v>1</v>
      </c>
      <c r="O78" s="232"/>
      <c r="P78" s="226"/>
      <c r="Q78" s="225">
        <v>1</v>
      </c>
      <c r="R78" s="232">
        <v>1</v>
      </c>
      <c r="S78" s="225" t="s">
        <v>410</v>
      </c>
      <c r="T78" s="232" t="s">
        <v>413</v>
      </c>
      <c r="U78" s="9" t="s">
        <v>414</v>
      </c>
    </row>
  </sheetData>
  <mergeCells count="14">
    <mergeCell ref="A51:A78"/>
    <mergeCell ref="B52:B57"/>
    <mergeCell ref="B59:B64"/>
    <mergeCell ref="B66:B71"/>
    <mergeCell ref="B73:B78"/>
    <mergeCell ref="A2:A8"/>
    <mergeCell ref="B3:B8"/>
    <mergeCell ref="A9:A50"/>
    <mergeCell ref="B10:B15"/>
    <mergeCell ref="B17:B22"/>
    <mergeCell ref="B24:B29"/>
    <mergeCell ref="B31:B36"/>
    <mergeCell ref="B38:B43"/>
    <mergeCell ref="B45:B50"/>
  </mergeCells>
  <phoneticPr fontId="14" type="noConversion"/>
  <pageMargins left="0.7" right="0.7" top="0.75" bottom="0.75" header="0.3" footer="0.3"/>
  <pageSetup paperSize="9" orientation="portrait" horizontalDpi="200" verticalDpi="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70" zoomScaleNormal="70" zoomScalePageLayoutView="85" workbookViewId="0">
      <selection activeCell="Y23" sqref="Y23"/>
    </sheetView>
  </sheetViews>
  <sheetFormatPr defaultColWidth="10.140625" defaultRowHeight="15.75"/>
  <cols>
    <col min="1" max="1" width="17.85546875" style="296" customWidth="1"/>
    <col min="2" max="2" width="10.140625" style="296"/>
    <col min="3" max="3" width="10" style="296" customWidth="1"/>
    <col min="4" max="4" width="10.140625" style="296"/>
    <col min="5" max="5" width="10.28515625" style="296" customWidth="1"/>
    <col min="6" max="6" width="10.140625" style="296"/>
    <col min="7" max="9" width="10.28515625" style="296" customWidth="1"/>
    <col min="10" max="16384" width="10.140625" style="296"/>
  </cols>
  <sheetData>
    <row r="1" spans="1:26">
      <c r="A1" s="168" t="s">
        <v>260</v>
      </c>
      <c r="B1" s="168" t="s">
        <v>278</v>
      </c>
      <c r="D1" s="170" t="s">
        <v>279</v>
      </c>
      <c r="G1" s="170">
        <v>8</v>
      </c>
    </row>
    <row r="2" spans="1:26">
      <c r="D2" s="296" t="s">
        <v>440</v>
      </c>
      <c r="G2" s="296">
        <v>11</v>
      </c>
    </row>
    <row r="3" spans="1:26">
      <c r="A3" s="297" t="s">
        <v>261</v>
      </c>
      <c r="B3" s="297" t="s">
        <v>262</v>
      </c>
      <c r="C3" s="297" t="s">
        <v>263</v>
      </c>
      <c r="D3" s="296" t="s">
        <v>490</v>
      </c>
    </row>
    <row r="4" spans="1:26">
      <c r="A4" s="297" t="s">
        <v>441</v>
      </c>
      <c r="B4" s="297">
        <v>4</v>
      </c>
      <c r="C4" s="297">
        <v>4</v>
      </c>
      <c r="D4" s="296">
        <f>(64/B4)*(64/C4)</f>
        <v>256</v>
      </c>
    </row>
    <row r="5" spans="1:26">
      <c r="A5" s="297" t="s">
        <v>442</v>
      </c>
      <c r="B5" s="297">
        <v>8</v>
      </c>
      <c r="C5" s="297">
        <v>8</v>
      </c>
      <c r="D5" s="296">
        <f t="shared" ref="D5:D8" si="0">(64/B5)*(64/C5)</f>
        <v>64</v>
      </c>
    </row>
    <row r="6" spans="1:26">
      <c r="A6" s="297" t="s">
        <v>266</v>
      </c>
      <c r="B6" s="297">
        <v>16</v>
      </c>
      <c r="C6" s="297">
        <v>16</v>
      </c>
      <c r="D6" s="296">
        <f t="shared" si="0"/>
        <v>16</v>
      </c>
    </row>
    <row r="7" spans="1:26">
      <c r="A7" s="297" t="s">
        <v>443</v>
      </c>
      <c r="B7" s="297">
        <v>32</v>
      </c>
      <c r="C7" s="297">
        <v>32</v>
      </c>
      <c r="D7" s="296">
        <f t="shared" si="0"/>
        <v>4</v>
      </c>
    </row>
    <row r="8" spans="1:26">
      <c r="A8" s="297" t="s">
        <v>444</v>
      </c>
      <c r="B8" s="297">
        <v>64</v>
      </c>
      <c r="C8" s="297">
        <v>64</v>
      </c>
      <c r="D8" s="296">
        <f t="shared" si="0"/>
        <v>1</v>
      </c>
    </row>
    <row r="9" spans="1:26">
      <c r="A9" s="297"/>
      <c r="B9" s="297"/>
      <c r="C9" s="297"/>
    </row>
    <row r="10" spans="1:26">
      <c r="A10" s="298" t="s">
        <v>445</v>
      </c>
      <c r="J10" s="298" t="s">
        <v>446</v>
      </c>
      <c r="S10" s="298" t="s">
        <v>447</v>
      </c>
    </row>
    <row r="11" spans="1:26">
      <c r="A11" s="172" t="s">
        <v>270</v>
      </c>
    </row>
    <row r="12" spans="1:26">
      <c r="A12" s="299"/>
      <c r="B12" s="300" t="s">
        <v>448</v>
      </c>
      <c r="C12" s="301"/>
      <c r="D12" s="300" t="s">
        <v>449</v>
      </c>
      <c r="E12" s="302"/>
      <c r="F12" s="303" t="s">
        <v>271</v>
      </c>
      <c r="G12" s="304"/>
      <c r="J12" s="299"/>
      <c r="K12" s="300" t="s">
        <v>450</v>
      </c>
      <c r="L12" s="300" t="s">
        <v>448</v>
      </c>
      <c r="M12" s="301"/>
      <c r="N12" s="300" t="s">
        <v>449</v>
      </c>
      <c r="O12" s="302"/>
      <c r="P12" s="303" t="s">
        <v>271</v>
      </c>
      <c r="Q12" s="304"/>
      <c r="S12" s="299"/>
      <c r="T12" s="300" t="s">
        <v>451</v>
      </c>
      <c r="U12" s="301"/>
      <c r="V12" s="300" t="s">
        <v>449</v>
      </c>
      <c r="W12" s="302"/>
      <c r="X12" s="305"/>
      <c r="Y12" s="305"/>
      <c r="Z12" s="304"/>
    </row>
    <row r="13" spans="1:26">
      <c r="A13" s="306" t="s">
        <v>261</v>
      </c>
      <c r="B13" s="307" t="s">
        <v>272</v>
      </c>
      <c r="C13" s="307" t="s">
        <v>452</v>
      </c>
      <c r="D13" s="307" t="s">
        <v>272</v>
      </c>
      <c r="E13" s="307" t="s">
        <v>452</v>
      </c>
      <c r="F13" s="307" t="s">
        <v>272</v>
      </c>
      <c r="G13" s="307" t="s">
        <v>452</v>
      </c>
      <c r="J13" s="306" t="s">
        <v>261</v>
      </c>
      <c r="K13" s="307" t="s">
        <v>453</v>
      </c>
      <c r="L13" s="307" t="s">
        <v>272</v>
      </c>
      <c r="M13" s="307" t="s">
        <v>452</v>
      </c>
      <c r="N13" s="307" t="s">
        <v>272</v>
      </c>
      <c r="O13" s="307" t="s">
        <v>452</v>
      </c>
      <c r="P13" s="307" t="s">
        <v>272</v>
      </c>
      <c r="Q13" s="307" t="s">
        <v>452</v>
      </c>
      <c r="S13" s="306" t="s">
        <v>261</v>
      </c>
      <c r="T13" s="307" t="s">
        <v>273</v>
      </c>
      <c r="U13" s="307" t="s">
        <v>272</v>
      </c>
      <c r="V13" s="307" t="s">
        <v>272</v>
      </c>
      <c r="W13" s="307" t="s">
        <v>452</v>
      </c>
      <c r="X13" s="307" t="s">
        <v>273</v>
      </c>
      <c r="Y13" s="308" t="s">
        <v>272</v>
      </c>
      <c r="Z13" s="308" t="s">
        <v>452</v>
      </c>
    </row>
    <row r="14" spans="1:26">
      <c r="A14" s="307" t="s">
        <v>441</v>
      </c>
      <c r="B14" s="309">
        <f>3+B4*B4</f>
        <v>19</v>
      </c>
      <c r="C14" s="309">
        <f>3+3*B4*B4</f>
        <v>51</v>
      </c>
      <c r="D14" s="309">
        <f>B4*B4</f>
        <v>16</v>
      </c>
      <c r="E14" s="309">
        <f>4+3*B4*B4</f>
        <v>52</v>
      </c>
      <c r="F14" s="309">
        <f t="shared" ref="F14:G18" si="1">B14+D14</f>
        <v>35</v>
      </c>
      <c r="G14" s="309">
        <f t="shared" si="1"/>
        <v>103</v>
      </c>
      <c r="J14" s="307" t="s">
        <v>441</v>
      </c>
      <c r="K14" s="309">
        <f>B4*B4+B4*B4</f>
        <v>32</v>
      </c>
      <c r="L14" s="309">
        <f>3+B4*B4</f>
        <v>19</v>
      </c>
      <c r="M14" s="309">
        <f>3+3*B4*B4</f>
        <v>51</v>
      </c>
      <c r="N14" s="309">
        <f>B4*B4</f>
        <v>16</v>
      </c>
      <c r="O14" s="309">
        <f>4*B4*B4</f>
        <v>64</v>
      </c>
      <c r="P14" s="309">
        <f>K14+L14+N14</f>
        <v>67</v>
      </c>
      <c r="Q14" s="309">
        <f>M14+O14</f>
        <v>115</v>
      </c>
      <c r="S14" s="307" t="s">
        <v>441</v>
      </c>
      <c r="T14" s="309">
        <f>4*B4*B4</f>
        <v>64</v>
      </c>
      <c r="U14" s="309">
        <f>4*B4*B4+IF(B4&lt;32,2*B4,0)</f>
        <v>72</v>
      </c>
      <c r="V14" s="309">
        <f>3+3*B4*B4</f>
        <v>51</v>
      </c>
      <c r="W14" s="309">
        <f>2*B4*B4</f>
        <v>32</v>
      </c>
      <c r="X14" s="309">
        <f>T14</f>
        <v>64</v>
      </c>
      <c r="Y14" s="309">
        <f>U14+V14</f>
        <v>123</v>
      </c>
      <c r="Z14" s="309">
        <f>W14</f>
        <v>32</v>
      </c>
    </row>
    <row r="15" spans="1:26">
      <c r="A15" s="307" t="s">
        <v>442</v>
      </c>
      <c r="B15" s="309">
        <f t="shared" ref="B15:B17" si="2">3+B5*B5</f>
        <v>67</v>
      </c>
      <c r="C15" s="309">
        <f t="shared" ref="C15:C17" si="3">3+3*B5*B5</f>
        <v>195</v>
      </c>
      <c r="D15" s="309">
        <f t="shared" ref="D15:D17" si="4">B5*B5</f>
        <v>64</v>
      </c>
      <c r="E15" s="309">
        <f t="shared" ref="E15:E17" si="5">4+3*B5*B5</f>
        <v>196</v>
      </c>
      <c r="F15" s="309">
        <f t="shared" si="1"/>
        <v>131</v>
      </c>
      <c r="G15" s="309">
        <f t="shared" si="1"/>
        <v>391</v>
      </c>
      <c r="J15" s="307" t="s">
        <v>442</v>
      </c>
      <c r="K15" s="309">
        <f t="shared" ref="K15:K17" si="6">B5*B5+B5*B5</f>
        <v>128</v>
      </c>
      <c r="L15" s="309">
        <f t="shared" ref="L15:L17" si="7">3+B5*B5</f>
        <v>67</v>
      </c>
      <c r="M15" s="309">
        <f t="shared" ref="M15:M17" si="8">3+3*B5*B5</f>
        <v>195</v>
      </c>
      <c r="N15" s="309">
        <f t="shared" ref="N15:N17" si="9">B5*B5</f>
        <v>64</v>
      </c>
      <c r="O15" s="309">
        <f t="shared" ref="O15:O17" si="10">4*B5*B5</f>
        <v>256</v>
      </c>
      <c r="P15" s="309">
        <f>K15+L15+N15</f>
        <v>259</v>
      </c>
      <c r="Q15" s="309">
        <f t="shared" ref="Q15:Q18" si="11">M15+O15</f>
        <v>451</v>
      </c>
      <c r="S15" s="307" t="s">
        <v>454</v>
      </c>
      <c r="T15" s="309">
        <f>4*B5*B5</f>
        <v>256</v>
      </c>
      <c r="U15" s="309">
        <f>4*B5*B5+IF(B5&lt;32,2*B5,0)</f>
        <v>272</v>
      </c>
      <c r="V15" s="309">
        <f>3+3*B5*B5</f>
        <v>195</v>
      </c>
      <c r="W15" s="309">
        <f t="shared" ref="W15:W17" si="12">2*B5*B5</f>
        <v>128</v>
      </c>
      <c r="X15" s="309">
        <f t="shared" ref="X15:X18" si="13">T15</f>
        <v>256</v>
      </c>
      <c r="Y15" s="309">
        <f>U15+V15</f>
        <v>467</v>
      </c>
      <c r="Z15" s="309">
        <f>W15</f>
        <v>128</v>
      </c>
    </row>
    <row r="16" spans="1:26">
      <c r="A16" s="307" t="s">
        <v>266</v>
      </c>
      <c r="B16" s="309">
        <f t="shared" si="2"/>
        <v>259</v>
      </c>
      <c r="C16" s="309">
        <f t="shared" si="3"/>
        <v>771</v>
      </c>
      <c r="D16" s="309">
        <f t="shared" si="4"/>
        <v>256</v>
      </c>
      <c r="E16" s="309">
        <f t="shared" si="5"/>
        <v>772</v>
      </c>
      <c r="F16" s="309">
        <f t="shared" si="1"/>
        <v>515</v>
      </c>
      <c r="G16" s="309">
        <f t="shared" si="1"/>
        <v>1543</v>
      </c>
      <c r="J16" s="307" t="s">
        <v>266</v>
      </c>
      <c r="K16" s="309">
        <f t="shared" si="6"/>
        <v>512</v>
      </c>
      <c r="L16" s="309">
        <f t="shared" si="7"/>
        <v>259</v>
      </c>
      <c r="M16" s="309">
        <f t="shared" si="8"/>
        <v>771</v>
      </c>
      <c r="N16" s="309">
        <f t="shared" si="9"/>
        <v>256</v>
      </c>
      <c r="O16" s="309">
        <f t="shared" si="10"/>
        <v>1024</v>
      </c>
      <c r="P16" s="309">
        <f>K16+L16+N16</f>
        <v>1027</v>
      </c>
      <c r="Q16" s="309">
        <f t="shared" si="11"/>
        <v>1795</v>
      </c>
      <c r="S16" s="307" t="s">
        <v>266</v>
      </c>
      <c r="T16" s="309">
        <f>4*B6*B6</f>
        <v>1024</v>
      </c>
      <c r="U16" s="309">
        <f>4*B6*B6+IF(B6&lt;32,2*B6,0)</f>
        <v>1056</v>
      </c>
      <c r="V16" s="309">
        <f>3+3*B6*B6</f>
        <v>771</v>
      </c>
      <c r="W16" s="309">
        <f t="shared" si="12"/>
        <v>512</v>
      </c>
      <c r="X16" s="309">
        <f t="shared" si="13"/>
        <v>1024</v>
      </c>
      <c r="Y16" s="309">
        <f>U16+V16</f>
        <v>1827</v>
      </c>
      <c r="Z16" s="309">
        <f>W16</f>
        <v>512</v>
      </c>
    </row>
    <row r="17" spans="1:26">
      <c r="A17" s="307" t="s">
        <v>443</v>
      </c>
      <c r="B17" s="309">
        <f t="shared" si="2"/>
        <v>1027</v>
      </c>
      <c r="C17" s="309">
        <f t="shared" si="3"/>
        <v>3075</v>
      </c>
      <c r="D17" s="309">
        <f t="shared" si="4"/>
        <v>1024</v>
      </c>
      <c r="E17" s="309">
        <f t="shared" si="5"/>
        <v>3076</v>
      </c>
      <c r="F17" s="309">
        <f t="shared" si="1"/>
        <v>2051</v>
      </c>
      <c r="G17" s="309">
        <f t="shared" si="1"/>
        <v>6151</v>
      </c>
      <c r="J17" s="307" t="s">
        <v>443</v>
      </c>
      <c r="K17" s="309">
        <f t="shared" si="6"/>
        <v>2048</v>
      </c>
      <c r="L17" s="309">
        <f t="shared" si="7"/>
        <v>1027</v>
      </c>
      <c r="M17" s="309">
        <f t="shared" si="8"/>
        <v>3075</v>
      </c>
      <c r="N17" s="309">
        <f t="shared" si="9"/>
        <v>1024</v>
      </c>
      <c r="O17" s="309">
        <f t="shared" si="10"/>
        <v>4096</v>
      </c>
      <c r="P17" s="309">
        <f>K17+L17+N17</f>
        <v>4099</v>
      </c>
      <c r="Q17" s="309">
        <f t="shared" si="11"/>
        <v>7171</v>
      </c>
      <c r="S17" s="307" t="s">
        <v>443</v>
      </c>
      <c r="T17" s="309">
        <f>4*B7*B7</f>
        <v>4096</v>
      </c>
      <c r="U17" s="309">
        <f>4*B7*B7+IF(B7&lt;32,2*B7,0)</f>
        <v>4096</v>
      </c>
      <c r="V17" s="309">
        <f>3+3*B7*B7</f>
        <v>3075</v>
      </c>
      <c r="W17" s="309">
        <f t="shared" si="12"/>
        <v>2048</v>
      </c>
      <c r="X17" s="309">
        <f t="shared" si="13"/>
        <v>4096</v>
      </c>
      <c r="Y17" s="309">
        <f>U17+V17</f>
        <v>7171</v>
      </c>
      <c r="Z17" s="309">
        <f>W17</f>
        <v>2048</v>
      </c>
    </row>
    <row r="18" spans="1:26">
      <c r="A18" s="307" t="s">
        <v>455</v>
      </c>
      <c r="B18" s="309">
        <f>4*(3+(B8/2)*(B8/2))</f>
        <v>4108</v>
      </c>
      <c r="C18" s="309">
        <f>4*(3+3*(B8/2)*(B8/2))</f>
        <v>12300</v>
      </c>
      <c r="D18" s="309">
        <f>4*((B8/2)*(B8/2))</f>
        <v>4096</v>
      </c>
      <c r="E18" s="309">
        <f>4*(4+3*(B8/2)*(B8/2))</f>
        <v>12304</v>
      </c>
      <c r="F18" s="309">
        <f t="shared" si="1"/>
        <v>8204</v>
      </c>
      <c r="G18" s="309">
        <f t="shared" si="1"/>
        <v>24604</v>
      </c>
      <c r="J18" s="307" t="s">
        <v>444</v>
      </c>
      <c r="K18" s="309">
        <f>(4*(B8/2)*(B8/2)+4*(B8/2)*(B8/2))</f>
        <v>8192</v>
      </c>
      <c r="L18" s="309">
        <f>4*(3+(B8/2)*(B8/2))</f>
        <v>4108</v>
      </c>
      <c r="M18" s="309">
        <f>4*(3+3*(B8/2)*(B8/2))</f>
        <v>12300</v>
      </c>
      <c r="N18" s="309">
        <f>4*((B8/2)*(B8/2))</f>
        <v>4096</v>
      </c>
      <c r="O18" s="309">
        <f>4*(4*(B8/2)*(B8/2))</f>
        <v>16384</v>
      </c>
      <c r="P18" s="309">
        <f>K18+L18+N18</f>
        <v>16396</v>
      </c>
      <c r="Q18" s="309">
        <f t="shared" si="11"/>
        <v>28684</v>
      </c>
      <c r="S18" s="307" t="s">
        <v>444</v>
      </c>
      <c r="T18" s="309">
        <f>4*(4*(B8/2)*(B8/2))</f>
        <v>16384</v>
      </c>
      <c r="U18" s="309">
        <f>4*(4*(B8/2)*(B8/2))+IF(B8&lt;32,2*(4*(B8/2)*(B8/2)),0)</f>
        <v>16384</v>
      </c>
      <c r="V18" s="309">
        <f>3+3*(4*(B8/2)*(B8/2))</f>
        <v>12291</v>
      </c>
      <c r="W18" s="309">
        <f>4*(2*(B8/2)*(B8/2))</f>
        <v>8192</v>
      </c>
      <c r="X18" s="309">
        <f t="shared" si="13"/>
        <v>16384</v>
      </c>
      <c r="Y18" s="309">
        <f>U18+V18</f>
        <v>28675</v>
      </c>
      <c r="Z18" s="309">
        <f>W18</f>
        <v>8192</v>
      </c>
    </row>
    <row r="19" spans="1:26" ht="15" customHeight="1"/>
    <row r="20" spans="1:26">
      <c r="A20" s="172" t="s">
        <v>456</v>
      </c>
    </row>
    <row r="21" spans="1:26">
      <c r="A21" s="310" t="s">
        <v>261</v>
      </c>
      <c r="B21" s="299" t="s">
        <v>457</v>
      </c>
      <c r="C21" s="299" t="s">
        <v>458</v>
      </c>
      <c r="D21" s="299" t="s">
        <v>459</v>
      </c>
      <c r="E21" s="299" t="s">
        <v>460</v>
      </c>
      <c r="F21" s="299" t="s">
        <v>461</v>
      </c>
      <c r="G21" s="299" t="s">
        <v>462</v>
      </c>
      <c r="H21" s="311" t="s">
        <v>463</v>
      </c>
      <c r="J21" s="310" t="s">
        <v>261</v>
      </c>
      <c r="K21" s="299" t="s">
        <v>464</v>
      </c>
      <c r="L21" s="299" t="s">
        <v>465</v>
      </c>
      <c r="M21" s="299" t="s">
        <v>466</v>
      </c>
      <c r="N21" s="299" t="s">
        <v>467</v>
      </c>
      <c r="O21" s="299" t="s">
        <v>468</v>
      </c>
      <c r="P21" s="311" t="s">
        <v>216</v>
      </c>
      <c r="Q21" s="311" t="s">
        <v>463</v>
      </c>
      <c r="S21" s="310" t="s">
        <v>261</v>
      </c>
      <c r="T21" s="299" t="s">
        <v>466</v>
      </c>
      <c r="U21" s="299" t="s">
        <v>467</v>
      </c>
      <c r="V21" s="299" t="s">
        <v>468</v>
      </c>
      <c r="W21" s="311" t="s">
        <v>216</v>
      </c>
      <c r="X21" s="311" t="s">
        <v>271</v>
      </c>
    </row>
    <row r="22" spans="1:26">
      <c r="A22" s="307" t="s">
        <v>441</v>
      </c>
      <c r="B22" s="309">
        <f>B4*B4*1</f>
        <v>16</v>
      </c>
      <c r="C22" s="309">
        <f>$G$2</f>
        <v>11</v>
      </c>
      <c r="D22" s="309">
        <f>8*$G$1</f>
        <v>64</v>
      </c>
      <c r="E22" s="309">
        <f>2*$G$1</f>
        <v>16</v>
      </c>
      <c r="F22" s="309">
        <f>2*2*$G$1</f>
        <v>32</v>
      </c>
      <c r="G22" s="309">
        <f>B4*B4*$G$1</f>
        <v>128</v>
      </c>
      <c r="H22" s="312">
        <f>B22+D22+E22+F22+G22</f>
        <v>256</v>
      </c>
      <c r="J22" s="307" t="s">
        <v>441</v>
      </c>
      <c r="K22" s="309">
        <f>B4*B4*$G$1</f>
        <v>128</v>
      </c>
      <c r="L22" s="309">
        <f>B4*B4*1</f>
        <v>16</v>
      </c>
      <c r="M22" s="309">
        <f>8*$G$1</f>
        <v>64</v>
      </c>
      <c r="N22" s="309">
        <f>2*$G$1</f>
        <v>16</v>
      </c>
      <c r="O22" s="309">
        <f>2*2*$G$1</f>
        <v>32</v>
      </c>
      <c r="P22" s="312">
        <f>B4*B4*$G$1</f>
        <v>128</v>
      </c>
      <c r="Q22" s="312">
        <f>K22+L22+M22+N22+O22+P22</f>
        <v>384</v>
      </c>
      <c r="S22" s="307" t="s">
        <v>441</v>
      </c>
      <c r="T22" s="309">
        <f>4*B4*$G$1</f>
        <v>128</v>
      </c>
      <c r="U22" s="313">
        <f t="shared" ref="U22:V25" si="14">1*$G$1</f>
        <v>8</v>
      </c>
      <c r="V22" s="309">
        <f t="shared" si="14"/>
        <v>8</v>
      </c>
      <c r="W22" s="312">
        <f>B4*B4*$G$1</f>
        <v>128</v>
      </c>
      <c r="X22" s="312">
        <f>T22+U22+V22+W22</f>
        <v>272</v>
      </c>
      <c r="Y22" s="314"/>
    </row>
    <row r="23" spans="1:26">
      <c r="A23" s="307" t="s">
        <v>442</v>
      </c>
      <c r="B23" s="309">
        <f t="shared" ref="B23:B26" si="15">B5*B5*1</f>
        <v>64</v>
      </c>
      <c r="C23" s="309">
        <f t="shared" ref="C23:C25" si="16">$G$2</f>
        <v>11</v>
      </c>
      <c r="D23" s="309">
        <f>8*$G$1</f>
        <v>64</v>
      </c>
      <c r="E23" s="309">
        <f>2*$G$1</f>
        <v>16</v>
      </c>
      <c r="F23" s="309">
        <f>2*2*$G$1</f>
        <v>32</v>
      </c>
      <c r="G23" s="309">
        <f>B5*B5*$G$1</f>
        <v>512</v>
      </c>
      <c r="H23" s="312">
        <f>B23+D23+E23+F23+G23</f>
        <v>688</v>
      </c>
      <c r="J23" s="307" t="s">
        <v>469</v>
      </c>
      <c r="K23" s="309">
        <f>B5*B5*$G$1</f>
        <v>512</v>
      </c>
      <c r="L23" s="309">
        <f>B5*B5*1</f>
        <v>64</v>
      </c>
      <c r="M23" s="309">
        <f>8*$G$1</f>
        <v>64</v>
      </c>
      <c r="N23" s="309">
        <f>2*$G$1</f>
        <v>16</v>
      </c>
      <c r="O23" s="309">
        <f>2*2*$G$1</f>
        <v>32</v>
      </c>
      <c r="P23" s="312">
        <f>B5*B5*$G$1</f>
        <v>512</v>
      </c>
      <c r="Q23" s="312">
        <f t="shared" ref="Q23:Q26" si="17">K23+L23+M23+N23+O23+P23</f>
        <v>1200</v>
      </c>
      <c r="S23" s="307" t="s">
        <v>442</v>
      </c>
      <c r="T23" s="309">
        <f>4*B5*$G$1</f>
        <v>256</v>
      </c>
      <c r="U23" s="313">
        <f t="shared" si="14"/>
        <v>8</v>
      </c>
      <c r="V23" s="309">
        <f t="shared" si="14"/>
        <v>8</v>
      </c>
      <c r="W23" s="312">
        <f>B5*B5*$G$1</f>
        <v>512</v>
      </c>
      <c r="X23" s="312">
        <f t="shared" ref="X23:X26" si="18">T23+U23+V23+W23</f>
        <v>784</v>
      </c>
      <c r="Y23" s="314"/>
    </row>
    <row r="24" spans="1:26">
      <c r="A24" s="307" t="s">
        <v>266</v>
      </c>
      <c r="B24" s="309">
        <f t="shared" si="15"/>
        <v>256</v>
      </c>
      <c r="C24" s="309">
        <f t="shared" si="16"/>
        <v>11</v>
      </c>
      <c r="D24" s="309">
        <f>8*$G$1</f>
        <v>64</v>
      </c>
      <c r="E24" s="309">
        <f>2*$G$1</f>
        <v>16</v>
      </c>
      <c r="F24" s="309">
        <f>2*2*$G$1</f>
        <v>32</v>
      </c>
      <c r="G24" s="309">
        <f>B6*B6*$G$1</f>
        <v>2048</v>
      </c>
      <c r="H24" s="312">
        <f>B24+D24+E24+F24+G24</f>
        <v>2416</v>
      </c>
      <c r="J24" s="307" t="s">
        <v>266</v>
      </c>
      <c r="K24" s="309">
        <f>B6*B6*$G$1</f>
        <v>2048</v>
      </c>
      <c r="L24" s="309">
        <f>B6*B6*1</f>
        <v>256</v>
      </c>
      <c r="M24" s="309">
        <f>8*$G$1</f>
        <v>64</v>
      </c>
      <c r="N24" s="309">
        <f>2*$G$1</f>
        <v>16</v>
      </c>
      <c r="O24" s="309">
        <f>2*2*$G$1</f>
        <v>32</v>
      </c>
      <c r="P24" s="312">
        <f>B6*B6*$G$1</f>
        <v>2048</v>
      </c>
      <c r="Q24" s="312">
        <f t="shared" si="17"/>
        <v>4464</v>
      </c>
      <c r="S24" s="307" t="s">
        <v>266</v>
      </c>
      <c r="T24" s="309">
        <f>4*B6*$G$1</f>
        <v>512</v>
      </c>
      <c r="U24" s="313">
        <f t="shared" si="14"/>
        <v>8</v>
      </c>
      <c r="V24" s="309">
        <f t="shared" si="14"/>
        <v>8</v>
      </c>
      <c r="W24" s="312">
        <f>B6*B6*$G$1</f>
        <v>2048</v>
      </c>
      <c r="X24" s="312">
        <f t="shared" si="18"/>
        <v>2576</v>
      </c>
      <c r="Y24" s="314"/>
    </row>
    <row r="25" spans="1:26">
      <c r="A25" s="307" t="s">
        <v>443</v>
      </c>
      <c r="B25" s="309">
        <f t="shared" si="15"/>
        <v>1024</v>
      </c>
      <c r="C25" s="309">
        <f t="shared" si="16"/>
        <v>11</v>
      </c>
      <c r="D25" s="309">
        <f>8*$G$1</f>
        <v>64</v>
      </c>
      <c r="E25" s="309">
        <f>2*$G$1</f>
        <v>16</v>
      </c>
      <c r="F25" s="309">
        <f>2*2*$G$1</f>
        <v>32</v>
      </c>
      <c r="G25" s="309">
        <f>B7*B7*$G$1</f>
        <v>8192</v>
      </c>
      <c r="H25" s="312">
        <f>B25+D25+E25+F25+G25</f>
        <v>9328</v>
      </c>
      <c r="J25" s="307" t="s">
        <v>443</v>
      </c>
      <c r="K25" s="309">
        <f>B7*B7*$G$1</f>
        <v>8192</v>
      </c>
      <c r="L25" s="309">
        <f>B7*B7*1</f>
        <v>1024</v>
      </c>
      <c r="M25" s="309">
        <f>8*$G$1</f>
        <v>64</v>
      </c>
      <c r="N25" s="309">
        <f>2*$G$1</f>
        <v>16</v>
      </c>
      <c r="O25" s="309">
        <f>2*2*$G$1</f>
        <v>32</v>
      </c>
      <c r="P25" s="312">
        <f>B7*B7*$G$1</f>
        <v>8192</v>
      </c>
      <c r="Q25" s="312">
        <f t="shared" si="17"/>
        <v>17520</v>
      </c>
      <c r="S25" s="307" t="s">
        <v>443</v>
      </c>
      <c r="T25" s="309">
        <f>4*B7*$G$1</f>
        <v>1024</v>
      </c>
      <c r="U25" s="313">
        <f t="shared" si="14"/>
        <v>8</v>
      </c>
      <c r="V25" s="309">
        <f t="shared" si="14"/>
        <v>8</v>
      </c>
      <c r="W25" s="312">
        <f>B7*B7*$G$1</f>
        <v>8192</v>
      </c>
      <c r="X25" s="312">
        <f t="shared" si="18"/>
        <v>9232</v>
      </c>
      <c r="Y25" s="314"/>
    </row>
    <row r="26" spans="1:26">
      <c r="A26" s="307" t="s">
        <v>444</v>
      </c>
      <c r="B26" s="309">
        <f t="shared" si="15"/>
        <v>4096</v>
      </c>
      <c r="C26" s="309">
        <v>13</v>
      </c>
      <c r="D26" s="309">
        <f>8*$G$1</f>
        <v>64</v>
      </c>
      <c r="E26" s="309">
        <f>2*$G$1</f>
        <v>16</v>
      </c>
      <c r="F26" s="309">
        <f>4*2*2*$G$1</f>
        <v>128</v>
      </c>
      <c r="G26" s="309">
        <f>B8*B8*$G$1</f>
        <v>32768</v>
      </c>
      <c r="H26" s="312">
        <f>B26+D26+E26+F26+G26</f>
        <v>37072</v>
      </c>
      <c r="J26" s="307" t="s">
        <v>444</v>
      </c>
      <c r="K26" s="309">
        <f>B8*B8*$G$1</f>
        <v>32768</v>
      </c>
      <c r="L26" s="309">
        <f>B8*B8*1</f>
        <v>4096</v>
      </c>
      <c r="M26" s="309">
        <f>8*$G$1</f>
        <v>64</v>
      </c>
      <c r="N26" s="309">
        <f>2*$G$1</f>
        <v>16</v>
      </c>
      <c r="O26" s="309">
        <f>4*2*2*$G$1</f>
        <v>128</v>
      </c>
      <c r="P26" s="312">
        <f>B8*B8*$G$1</f>
        <v>32768</v>
      </c>
      <c r="Q26" s="312">
        <f t="shared" si="17"/>
        <v>69840</v>
      </c>
      <c r="S26" s="307" t="s">
        <v>444</v>
      </c>
      <c r="T26" s="309">
        <f>3*B8*$G$1</f>
        <v>1536</v>
      </c>
      <c r="U26" s="313">
        <f>1*$G$1</f>
        <v>8</v>
      </c>
      <c r="V26" s="309">
        <f>4*1*$G$1</f>
        <v>32</v>
      </c>
      <c r="W26" s="312">
        <f>B8*B8*$G$1</f>
        <v>32768</v>
      </c>
      <c r="X26" s="312">
        <f t="shared" si="18"/>
        <v>34344</v>
      </c>
      <c r="Y26" s="314"/>
    </row>
    <row r="28" spans="1:26">
      <c r="A28" s="172" t="s">
        <v>277</v>
      </c>
    </row>
    <row r="29" spans="1:26">
      <c r="A29" s="310" t="s">
        <v>261</v>
      </c>
      <c r="B29" s="299" t="s">
        <v>457</v>
      </c>
      <c r="C29" s="299" t="s">
        <v>458</v>
      </c>
      <c r="D29" s="299" t="s">
        <v>459</v>
      </c>
      <c r="E29" s="299" t="s">
        <v>461</v>
      </c>
      <c r="F29" s="299" t="s">
        <v>470</v>
      </c>
      <c r="G29" s="311" t="s">
        <v>271</v>
      </c>
      <c r="J29" s="310" t="s">
        <v>261</v>
      </c>
      <c r="K29" s="299" t="s">
        <v>464</v>
      </c>
      <c r="L29" s="299" t="s">
        <v>466</v>
      </c>
      <c r="M29" s="299" t="s">
        <v>468</v>
      </c>
      <c r="N29" s="311" t="s">
        <v>216</v>
      </c>
      <c r="O29" s="311" t="s">
        <v>271</v>
      </c>
      <c r="S29" s="310" t="s">
        <v>261</v>
      </c>
      <c r="T29" s="299" t="s">
        <v>466</v>
      </c>
      <c r="U29" s="299" t="s">
        <v>468</v>
      </c>
      <c r="V29" s="311" t="s">
        <v>216</v>
      </c>
      <c r="W29" s="311" t="s">
        <v>271</v>
      </c>
    </row>
    <row r="30" spans="1:26">
      <c r="A30" s="307" t="s">
        <v>441</v>
      </c>
      <c r="B30" s="309">
        <f>B4*B4*1</f>
        <v>16</v>
      </c>
      <c r="C30" s="309">
        <f>$G$2</f>
        <v>11</v>
      </c>
      <c r="D30" s="309">
        <f>8*$G$1</f>
        <v>64</v>
      </c>
      <c r="E30" s="309">
        <f>2*2*$G$1</f>
        <v>32</v>
      </c>
      <c r="F30" s="309">
        <f>B4*B4*$G$1</f>
        <v>128</v>
      </c>
      <c r="G30" s="312">
        <f>B30+C30+D30+E30+F30</f>
        <v>251</v>
      </c>
      <c r="J30" s="307" t="s">
        <v>441</v>
      </c>
      <c r="K30" s="309">
        <f>B4*B4*$G$1</f>
        <v>128</v>
      </c>
      <c r="L30" s="309">
        <f>8*$G$1</f>
        <v>64</v>
      </c>
      <c r="M30" s="309">
        <f>2*2*$G$1</f>
        <v>32</v>
      </c>
      <c r="N30" s="312">
        <f>B4*B4*$G$1</f>
        <v>128</v>
      </c>
      <c r="O30" s="312">
        <f>K30+L30+M30+N30</f>
        <v>352</v>
      </c>
      <c r="S30" s="307" t="s">
        <v>441</v>
      </c>
      <c r="T30" s="309">
        <f>4*B4*$G$1</f>
        <v>128</v>
      </c>
      <c r="U30" s="309">
        <f>1*$G$1</f>
        <v>8</v>
      </c>
      <c r="V30" s="312">
        <f>B4*B4*$G$1</f>
        <v>128</v>
      </c>
      <c r="W30" s="312">
        <f>T30+U30+V30</f>
        <v>264</v>
      </c>
    </row>
    <row r="31" spans="1:26">
      <c r="A31" s="307" t="s">
        <v>442</v>
      </c>
      <c r="B31" s="309">
        <f t="shared" ref="B31:B34" si="19">B5*B5*1</f>
        <v>64</v>
      </c>
      <c r="C31" s="309">
        <f t="shared" ref="C31:C33" si="20">$G$2</f>
        <v>11</v>
      </c>
      <c r="D31" s="309">
        <f>8*$G$1</f>
        <v>64</v>
      </c>
      <c r="E31" s="309">
        <f>2*2*$G$1</f>
        <v>32</v>
      </c>
      <c r="F31" s="309">
        <f>B5*B5*$G$1</f>
        <v>512</v>
      </c>
      <c r="G31" s="312">
        <f t="shared" ref="G31:G34" si="21">B31+C31+D31+E31+F31</f>
        <v>683</v>
      </c>
      <c r="J31" s="307" t="s">
        <v>442</v>
      </c>
      <c r="K31" s="309">
        <f>B5*B5*$G$1</f>
        <v>512</v>
      </c>
      <c r="L31" s="309">
        <f>8*$G$1</f>
        <v>64</v>
      </c>
      <c r="M31" s="309">
        <f>2*2*$G$1</f>
        <v>32</v>
      </c>
      <c r="N31" s="312">
        <f>B5*B5*$G$1</f>
        <v>512</v>
      </c>
      <c r="O31" s="312">
        <f t="shared" ref="O31:O34" si="22">K31+L31+M31+N31</f>
        <v>1120</v>
      </c>
      <c r="S31" s="307" t="s">
        <v>442</v>
      </c>
      <c r="T31" s="309">
        <f>4*B5*$G$1</f>
        <v>256</v>
      </c>
      <c r="U31" s="309">
        <f>1*$G$1</f>
        <v>8</v>
      </c>
      <c r="V31" s="312">
        <f>B5*B5*$G$1</f>
        <v>512</v>
      </c>
      <c r="W31" s="312">
        <f t="shared" ref="W31:W34" si="23">T31+U31+V31</f>
        <v>776</v>
      </c>
    </row>
    <row r="32" spans="1:26">
      <c r="A32" s="307" t="s">
        <v>266</v>
      </c>
      <c r="B32" s="309">
        <f t="shared" si="19"/>
        <v>256</v>
      </c>
      <c r="C32" s="309">
        <f t="shared" si="20"/>
        <v>11</v>
      </c>
      <c r="D32" s="309">
        <f>8*$G$1</f>
        <v>64</v>
      </c>
      <c r="E32" s="309">
        <f>2*2*$G$1</f>
        <v>32</v>
      </c>
      <c r="F32" s="309">
        <f>B6*B6*$G$1</f>
        <v>2048</v>
      </c>
      <c r="G32" s="312">
        <f t="shared" si="21"/>
        <v>2411</v>
      </c>
      <c r="J32" s="307" t="s">
        <v>266</v>
      </c>
      <c r="K32" s="309">
        <f>B6*B6*$G$1</f>
        <v>2048</v>
      </c>
      <c r="L32" s="309">
        <f>8*$G$1</f>
        <v>64</v>
      </c>
      <c r="M32" s="309">
        <f>2*2*$G$1</f>
        <v>32</v>
      </c>
      <c r="N32" s="312">
        <f>B6*B6*$G$1</f>
        <v>2048</v>
      </c>
      <c r="O32" s="312">
        <f t="shared" si="22"/>
        <v>4192</v>
      </c>
      <c r="S32" s="307" t="s">
        <v>266</v>
      </c>
      <c r="T32" s="309">
        <f>4*B6*$G$1</f>
        <v>512</v>
      </c>
      <c r="U32" s="309">
        <f>1*$G$1</f>
        <v>8</v>
      </c>
      <c r="V32" s="312">
        <f>B6*B6*$G$1</f>
        <v>2048</v>
      </c>
      <c r="W32" s="312">
        <f t="shared" si="23"/>
        <v>2568</v>
      </c>
    </row>
    <row r="33" spans="1:23">
      <c r="A33" s="307" t="s">
        <v>443</v>
      </c>
      <c r="B33" s="309">
        <f t="shared" si="19"/>
        <v>1024</v>
      </c>
      <c r="C33" s="309">
        <f t="shared" si="20"/>
        <v>11</v>
      </c>
      <c r="D33" s="309">
        <f>8*$G$1</f>
        <v>64</v>
      </c>
      <c r="E33" s="309">
        <f>2*2*$G$1</f>
        <v>32</v>
      </c>
      <c r="F33" s="309">
        <f>B7*B7*$G$1</f>
        <v>8192</v>
      </c>
      <c r="G33" s="312">
        <f t="shared" si="21"/>
        <v>9323</v>
      </c>
      <c r="J33" s="307" t="s">
        <v>471</v>
      </c>
      <c r="K33" s="309">
        <f>B7*B7*$G$1</f>
        <v>8192</v>
      </c>
      <c r="L33" s="309">
        <f>8*$G$1</f>
        <v>64</v>
      </c>
      <c r="M33" s="309">
        <f>2*2*$G$1</f>
        <v>32</v>
      </c>
      <c r="N33" s="312">
        <f>B7*B7*$G$1</f>
        <v>8192</v>
      </c>
      <c r="O33" s="312">
        <f t="shared" si="22"/>
        <v>16480</v>
      </c>
      <c r="S33" s="307" t="s">
        <v>472</v>
      </c>
      <c r="T33" s="309">
        <f>4*B7*$G$1</f>
        <v>1024</v>
      </c>
      <c r="U33" s="309">
        <f>1*$G$1</f>
        <v>8</v>
      </c>
      <c r="V33" s="312">
        <f>B7*B7*$G$1</f>
        <v>8192</v>
      </c>
      <c r="W33" s="312">
        <f t="shared" si="23"/>
        <v>9224</v>
      </c>
    </row>
    <row r="34" spans="1:23">
      <c r="A34" s="307" t="s">
        <v>444</v>
      </c>
      <c r="B34" s="309">
        <f t="shared" si="19"/>
        <v>4096</v>
      </c>
      <c r="C34" s="309">
        <v>13</v>
      </c>
      <c r="D34" s="309">
        <f>8*$G$1</f>
        <v>64</v>
      </c>
      <c r="E34" s="309">
        <f>4*2*2*$G$1</f>
        <v>128</v>
      </c>
      <c r="F34" s="309">
        <f>B8*B8*$G$1</f>
        <v>32768</v>
      </c>
      <c r="G34" s="312">
        <f t="shared" si="21"/>
        <v>37069</v>
      </c>
      <c r="J34" s="307" t="s">
        <v>444</v>
      </c>
      <c r="K34" s="309">
        <f>B8*B8*$G$1</f>
        <v>32768</v>
      </c>
      <c r="L34" s="309">
        <f>8*$G$1</f>
        <v>64</v>
      </c>
      <c r="M34" s="309">
        <f>4*2*2*$G$1</f>
        <v>128</v>
      </c>
      <c r="N34" s="312">
        <f>B8*B8*$G$1</f>
        <v>32768</v>
      </c>
      <c r="O34" s="312">
        <f t="shared" si="22"/>
        <v>65728</v>
      </c>
      <c r="S34" s="307" t="s">
        <v>444</v>
      </c>
      <c r="T34" s="309">
        <f>4*B8*$G$1</f>
        <v>2048</v>
      </c>
      <c r="U34" s="309">
        <f>4*1*$G$1</f>
        <v>32</v>
      </c>
      <c r="V34" s="312">
        <f>B8*B8*$G$1</f>
        <v>32768</v>
      </c>
      <c r="W34" s="312">
        <f t="shared" si="23"/>
        <v>34848</v>
      </c>
    </row>
    <row r="36" spans="1:23">
      <c r="A36" s="386" t="s">
        <v>491</v>
      </c>
      <c r="B36" s="386"/>
      <c r="C36" s="386"/>
      <c r="D36" s="386"/>
      <c r="E36" s="386"/>
      <c r="F36" s="386"/>
      <c r="G36" s="386"/>
      <c r="H36" s="386"/>
      <c r="I36" s="386"/>
      <c r="J36" s="386"/>
      <c r="K36" s="386"/>
      <c r="L36" s="386"/>
      <c r="M36" s="386"/>
      <c r="N36" s="386"/>
    </row>
    <row r="37" spans="1:23">
      <c r="A37" s="387" t="s">
        <v>477</v>
      </c>
      <c r="B37" s="388"/>
      <c r="C37" s="388"/>
      <c r="D37" s="388"/>
      <c r="E37" s="388"/>
      <c r="F37" s="388"/>
      <c r="G37" s="388"/>
      <c r="H37" s="388"/>
      <c r="I37" s="388"/>
      <c r="J37" s="388"/>
      <c r="K37" s="388"/>
      <c r="L37" s="388"/>
      <c r="M37" s="388"/>
      <c r="N37" s="389"/>
    </row>
    <row r="38" spans="1:23">
      <c r="A38" s="390" t="s">
        <v>478</v>
      </c>
      <c r="B38" s="391"/>
      <c r="C38" s="391"/>
      <c r="D38" s="391"/>
      <c r="E38" s="315"/>
      <c r="F38" s="391" t="s">
        <v>479</v>
      </c>
      <c r="G38" s="391"/>
      <c r="H38" s="391"/>
      <c r="I38" s="391"/>
      <c r="J38" s="315"/>
      <c r="K38" s="391" t="s">
        <v>480</v>
      </c>
      <c r="L38" s="391"/>
      <c r="M38" s="391"/>
      <c r="N38" s="392"/>
    </row>
    <row r="39" spans="1:23">
      <c r="A39" s="172" t="s">
        <v>270</v>
      </c>
      <c r="B39" s="316"/>
      <c r="C39" s="316"/>
      <c r="D39" s="316"/>
      <c r="E39" s="316"/>
      <c r="F39" s="172" t="s">
        <v>270</v>
      </c>
      <c r="G39" s="316"/>
      <c r="H39" s="316"/>
      <c r="I39" s="316"/>
      <c r="J39" s="316"/>
      <c r="K39" s="172" t="s">
        <v>270</v>
      </c>
      <c r="L39" s="316"/>
      <c r="M39" s="316"/>
      <c r="N39" s="316"/>
    </row>
    <row r="40" spans="1:23">
      <c r="A40" s="317"/>
      <c r="B40" s="383" t="s">
        <v>481</v>
      </c>
      <c r="C40" s="384"/>
      <c r="D40" s="385"/>
      <c r="E40" s="316"/>
      <c r="F40" s="317"/>
      <c r="G40" s="383" t="s">
        <v>481</v>
      </c>
      <c r="H40" s="384"/>
      <c r="I40" s="385"/>
      <c r="J40" s="316"/>
      <c r="K40" s="317"/>
      <c r="L40" s="383" t="s">
        <v>481</v>
      </c>
      <c r="M40" s="384"/>
      <c r="N40" s="385"/>
    </row>
    <row r="41" spans="1:23">
      <c r="A41" s="318" t="s">
        <v>261</v>
      </c>
      <c r="B41" s="319" t="s">
        <v>482</v>
      </c>
      <c r="C41" s="319" t="s">
        <v>483</v>
      </c>
      <c r="D41" s="319" t="s">
        <v>484</v>
      </c>
      <c r="E41" s="316"/>
      <c r="F41" s="318" t="s">
        <v>261</v>
      </c>
      <c r="G41" s="319" t="s">
        <v>482</v>
      </c>
      <c r="H41" s="319" t="s">
        <v>483</v>
      </c>
      <c r="I41" s="319" t="s">
        <v>484</v>
      </c>
      <c r="J41" s="316"/>
      <c r="K41" s="318" t="s">
        <v>261</v>
      </c>
      <c r="L41" s="319" t="s">
        <v>482</v>
      </c>
      <c r="M41" s="319" t="s">
        <v>483</v>
      </c>
      <c r="N41" s="319" t="s">
        <v>484</v>
      </c>
    </row>
    <row r="42" spans="1:23">
      <c r="A42" s="319" t="s">
        <v>485</v>
      </c>
      <c r="B42" s="320">
        <v>0</v>
      </c>
      <c r="C42" s="324">
        <f>F14*D4</f>
        <v>8960</v>
      </c>
      <c r="D42" s="324">
        <f>G14*D4</f>
        <v>26368</v>
      </c>
      <c r="E42" s="316"/>
      <c r="F42" s="319" t="s">
        <v>474</v>
      </c>
      <c r="G42" s="320">
        <v>0</v>
      </c>
      <c r="H42" s="324">
        <f>P14*D4</f>
        <v>17152</v>
      </c>
      <c r="I42" s="324">
        <f>Q14*D4</f>
        <v>29440</v>
      </c>
      <c r="J42" s="316"/>
      <c r="K42" s="319" t="s">
        <v>474</v>
      </c>
      <c r="L42" s="324">
        <f>X14*$D4</f>
        <v>16384</v>
      </c>
      <c r="M42" s="324">
        <f t="shared" ref="M42:N46" si="24">Y14*$D4</f>
        <v>31488</v>
      </c>
      <c r="N42" s="324">
        <f t="shared" si="24"/>
        <v>8192</v>
      </c>
    </row>
    <row r="43" spans="1:23">
      <c r="A43" s="319" t="s">
        <v>486</v>
      </c>
      <c r="B43" s="320">
        <v>0</v>
      </c>
      <c r="C43" s="326">
        <f t="shared" ref="C43:C46" si="25">F15*D5</f>
        <v>8384</v>
      </c>
      <c r="D43" s="326">
        <f t="shared" ref="D43:D46" si="26">G15*D5</f>
        <v>25024</v>
      </c>
      <c r="E43" s="316"/>
      <c r="F43" s="319" t="s">
        <v>267</v>
      </c>
      <c r="G43" s="320">
        <v>0</v>
      </c>
      <c r="H43" s="326">
        <f t="shared" ref="H43:H46" si="27">P15*D5</f>
        <v>16576</v>
      </c>
      <c r="I43" s="326">
        <f t="shared" ref="I43:I46" si="28">Q15*D5</f>
        <v>28864</v>
      </c>
      <c r="J43" s="316"/>
      <c r="K43" s="319" t="s">
        <v>267</v>
      </c>
      <c r="L43" s="326">
        <f t="shared" ref="L43:L46" si="29">X15*$D5</f>
        <v>16384</v>
      </c>
      <c r="M43" s="326">
        <f t="shared" si="24"/>
        <v>29888</v>
      </c>
      <c r="N43" s="326">
        <f t="shared" si="24"/>
        <v>8192</v>
      </c>
    </row>
    <row r="44" spans="1:23">
      <c r="A44" s="319" t="s">
        <v>266</v>
      </c>
      <c r="B44" s="320">
        <v>0</v>
      </c>
      <c r="C44" s="326">
        <f t="shared" si="25"/>
        <v>8240</v>
      </c>
      <c r="D44" s="326">
        <f t="shared" si="26"/>
        <v>24688</v>
      </c>
      <c r="E44" s="316"/>
      <c r="F44" s="319" t="s">
        <v>266</v>
      </c>
      <c r="G44" s="320">
        <v>0</v>
      </c>
      <c r="H44" s="326">
        <f t="shared" si="27"/>
        <v>16432</v>
      </c>
      <c r="I44" s="326">
        <f t="shared" si="28"/>
        <v>28720</v>
      </c>
      <c r="J44" s="316"/>
      <c r="K44" s="319" t="s">
        <v>266</v>
      </c>
      <c r="L44" s="326">
        <f t="shared" si="29"/>
        <v>16384</v>
      </c>
      <c r="M44" s="326">
        <f t="shared" si="24"/>
        <v>29232</v>
      </c>
      <c r="N44" s="326">
        <f t="shared" si="24"/>
        <v>8192</v>
      </c>
    </row>
    <row r="45" spans="1:23">
      <c r="A45" s="319" t="s">
        <v>487</v>
      </c>
      <c r="B45" s="320">
        <v>0</v>
      </c>
      <c r="C45" s="326">
        <f t="shared" si="25"/>
        <v>8204</v>
      </c>
      <c r="D45" s="326">
        <f t="shared" si="26"/>
        <v>24604</v>
      </c>
      <c r="E45" s="316"/>
      <c r="F45" s="319" t="s">
        <v>265</v>
      </c>
      <c r="G45" s="320">
        <v>0</v>
      </c>
      <c r="H45" s="326">
        <f t="shared" si="27"/>
        <v>16396</v>
      </c>
      <c r="I45" s="326">
        <f t="shared" si="28"/>
        <v>28684</v>
      </c>
      <c r="J45" s="316"/>
      <c r="K45" s="319" t="s">
        <v>265</v>
      </c>
      <c r="L45" s="326">
        <f t="shared" si="29"/>
        <v>16384</v>
      </c>
      <c r="M45" s="326">
        <f t="shared" si="24"/>
        <v>28684</v>
      </c>
      <c r="N45" s="326">
        <f t="shared" si="24"/>
        <v>8192</v>
      </c>
    </row>
    <row r="46" spans="1:23">
      <c r="A46" s="319" t="s">
        <v>488</v>
      </c>
      <c r="B46" s="320">
        <v>0</v>
      </c>
      <c r="C46" s="326">
        <f t="shared" si="25"/>
        <v>8204</v>
      </c>
      <c r="D46" s="326">
        <f t="shared" si="26"/>
        <v>24604</v>
      </c>
      <c r="E46" s="316"/>
      <c r="F46" s="319" t="s">
        <v>264</v>
      </c>
      <c r="G46" s="320">
        <v>0</v>
      </c>
      <c r="H46" s="326">
        <f t="shared" si="27"/>
        <v>16396</v>
      </c>
      <c r="I46" s="326">
        <f t="shared" si="28"/>
        <v>28684</v>
      </c>
      <c r="J46" s="316"/>
      <c r="K46" s="319" t="s">
        <v>264</v>
      </c>
      <c r="L46" s="326">
        <f t="shared" si="29"/>
        <v>16384</v>
      </c>
      <c r="M46" s="326">
        <f t="shared" si="24"/>
        <v>28675</v>
      </c>
      <c r="N46" s="326">
        <f t="shared" si="24"/>
        <v>8192</v>
      </c>
    </row>
    <row r="47" spans="1:23">
      <c r="A47" s="316"/>
      <c r="B47" s="316"/>
      <c r="C47" s="316"/>
      <c r="D47" s="316"/>
      <c r="E47" s="316"/>
      <c r="F47" s="316"/>
      <c r="G47" s="316"/>
      <c r="H47" s="316"/>
      <c r="I47" s="316"/>
      <c r="J47" s="316"/>
      <c r="K47" s="316"/>
      <c r="L47" s="316"/>
      <c r="M47" s="316"/>
      <c r="N47" s="316"/>
    </row>
    <row r="48" spans="1:23">
      <c r="A48" s="172" t="s">
        <v>489</v>
      </c>
      <c r="B48" s="316"/>
      <c r="C48" s="316"/>
      <c r="D48" s="316"/>
      <c r="E48" s="316"/>
      <c r="F48" s="172" t="s">
        <v>475</v>
      </c>
      <c r="G48" s="316"/>
      <c r="H48" s="316"/>
      <c r="I48" s="316"/>
      <c r="J48" s="316"/>
      <c r="K48" s="172" t="s">
        <v>475</v>
      </c>
      <c r="L48" s="316"/>
      <c r="M48" s="316"/>
      <c r="N48" s="316"/>
    </row>
    <row r="49" spans="1:14">
      <c r="A49" s="319" t="s">
        <v>261</v>
      </c>
      <c r="B49" s="321" t="s">
        <v>473</v>
      </c>
      <c r="C49" s="322"/>
      <c r="D49" s="322"/>
      <c r="E49" s="316"/>
      <c r="F49" s="319" t="s">
        <v>261</v>
      </c>
      <c r="G49" s="321" t="s">
        <v>473</v>
      </c>
      <c r="H49" s="316"/>
      <c r="I49" s="316"/>
      <c r="J49" s="316"/>
      <c r="K49" s="319" t="s">
        <v>261</v>
      </c>
      <c r="L49" s="321" t="s">
        <v>473</v>
      </c>
      <c r="M49" s="316"/>
      <c r="N49" s="316"/>
    </row>
    <row r="50" spans="1:14">
      <c r="A50" s="319" t="s">
        <v>485</v>
      </c>
      <c r="B50" s="320">
        <f>H22</f>
        <v>256</v>
      </c>
      <c r="C50" s="316"/>
      <c r="D50" s="316"/>
      <c r="E50" s="316"/>
      <c r="F50" s="319" t="s">
        <v>474</v>
      </c>
      <c r="G50" s="320">
        <f>Q22</f>
        <v>384</v>
      </c>
      <c r="H50" s="316"/>
      <c r="I50" s="316"/>
      <c r="J50" s="316"/>
      <c r="K50" s="319" t="s">
        <v>474</v>
      </c>
      <c r="L50" s="320">
        <f>X22</f>
        <v>272</v>
      </c>
      <c r="M50" s="316"/>
      <c r="N50" s="316"/>
    </row>
    <row r="51" spans="1:14">
      <c r="A51" s="319" t="s">
        <v>486</v>
      </c>
      <c r="B51" s="320">
        <f t="shared" ref="B51:B54" si="30">H23</f>
        <v>688</v>
      </c>
      <c r="C51" s="316"/>
      <c r="D51" s="316"/>
      <c r="E51" s="316"/>
      <c r="F51" s="319" t="s">
        <v>267</v>
      </c>
      <c r="G51" s="320">
        <f t="shared" ref="G51:G54" si="31">Q23</f>
        <v>1200</v>
      </c>
      <c r="H51" s="316"/>
      <c r="I51" s="316"/>
      <c r="J51" s="316"/>
      <c r="K51" s="319" t="s">
        <v>267</v>
      </c>
      <c r="L51" s="320">
        <f t="shared" ref="L51:L54" si="32">X23</f>
        <v>784</v>
      </c>
      <c r="M51" s="316"/>
      <c r="N51" s="316"/>
    </row>
    <row r="52" spans="1:14">
      <c r="A52" s="319" t="s">
        <v>266</v>
      </c>
      <c r="B52" s="320">
        <f t="shared" si="30"/>
        <v>2416</v>
      </c>
      <c r="C52" s="316"/>
      <c r="D52" s="316"/>
      <c r="E52" s="316"/>
      <c r="F52" s="319" t="s">
        <v>266</v>
      </c>
      <c r="G52" s="320">
        <f t="shared" si="31"/>
        <v>4464</v>
      </c>
      <c r="H52" s="316"/>
      <c r="I52" s="316"/>
      <c r="J52" s="316"/>
      <c r="K52" s="319" t="s">
        <v>266</v>
      </c>
      <c r="L52" s="320">
        <f t="shared" si="32"/>
        <v>2576</v>
      </c>
      <c r="M52" s="316"/>
      <c r="N52" s="316"/>
    </row>
    <row r="53" spans="1:14">
      <c r="A53" s="319" t="s">
        <v>443</v>
      </c>
      <c r="B53" s="325">
        <f t="shared" si="30"/>
        <v>9328</v>
      </c>
      <c r="C53" s="316"/>
      <c r="D53" s="316"/>
      <c r="E53" s="316"/>
      <c r="F53" s="319" t="s">
        <v>265</v>
      </c>
      <c r="G53" s="325">
        <f t="shared" si="31"/>
        <v>17520</v>
      </c>
      <c r="H53" s="316"/>
      <c r="I53" s="316"/>
      <c r="J53" s="316"/>
      <c r="K53" s="319" t="s">
        <v>265</v>
      </c>
      <c r="L53" s="325">
        <f t="shared" si="32"/>
        <v>9232</v>
      </c>
      <c r="M53" s="316"/>
      <c r="N53" s="316"/>
    </row>
    <row r="54" spans="1:14">
      <c r="A54" s="319" t="s">
        <v>444</v>
      </c>
      <c r="B54" s="320">
        <f t="shared" si="30"/>
        <v>37072</v>
      </c>
      <c r="C54" s="316"/>
      <c r="D54" s="316"/>
      <c r="E54" s="316"/>
      <c r="F54" s="319" t="s">
        <v>264</v>
      </c>
      <c r="G54" s="320">
        <f t="shared" si="31"/>
        <v>69840</v>
      </c>
      <c r="H54" s="316"/>
      <c r="I54" s="316"/>
      <c r="J54" s="316"/>
      <c r="K54" s="319" t="s">
        <v>264</v>
      </c>
      <c r="L54" s="320">
        <f t="shared" si="32"/>
        <v>34344</v>
      </c>
      <c r="M54" s="316"/>
      <c r="N54" s="316"/>
    </row>
    <row r="55" spans="1:14">
      <c r="A55" s="316"/>
      <c r="B55" s="323"/>
      <c r="C55" s="316"/>
      <c r="D55" s="316"/>
      <c r="E55" s="316"/>
      <c r="F55" s="316"/>
      <c r="G55" s="316"/>
      <c r="H55" s="316"/>
      <c r="I55" s="316"/>
      <c r="J55" s="316"/>
      <c r="K55" s="316"/>
      <c r="L55" s="316"/>
      <c r="M55" s="316"/>
      <c r="N55" s="316"/>
    </row>
    <row r="56" spans="1:14">
      <c r="A56" s="172" t="s">
        <v>277</v>
      </c>
      <c r="B56" s="323"/>
      <c r="C56" s="316"/>
      <c r="D56" s="316"/>
      <c r="E56" s="316"/>
      <c r="F56" s="172" t="s">
        <v>476</v>
      </c>
      <c r="G56" s="316"/>
      <c r="H56" s="316"/>
      <c r="I56" s="316"/>
      <c r="J56" s="316"/>
      <c r="K56" s="172" t="s">
        <v>476</v>
      </c>
      <c r="L56" s="316"/>
      <c r="M56" s="316"/>
      <c r="N56" s="316"/>
    </row>
    <row r="57" spans="1:14">
      <c r="A57" s="319" t="s">
        <v>261</v>
      </c>
      <c r="B57" s="319" t="s">
        <v>473</v>
      </c>
      <c r="C57" s="316"/>
      <c r="D57" s="316"/>
      <c r="E57" s="316"/>
      <c r="F57" s="319" t="s">
        <v>261</v>
      </c>
      <c r="G57" s="319" t="s">
        <v>473</v>
      </c>
      <c r="H57" s="316"/>
      <c r="I57" s="316"/>
      <c r="J57" s="316"/>
      <c r="K57" s="319" t="s">
        <v>261</v>
      </c>
      <c r="L57" s="319" t="s">
        <v>473</v>
      </c>
      <c r="M57" s="316"/>
      <c r="N57" s="316"/>
    </row>
    <row r="58" spans="1:14">
      <c r="A58" s="319" t="s">
        <v>441</v>
      </c>
      <c r="B58" s="325">
        <f>G30*$D4</f>
        <v>64256</v>
      </c>
      <c r="C58" s="316"/>
      <c r="D58" s="316"/>
      <c r="E58" s="316"/>
      <c r="F58" s="319" t="s">
        <v>474</v>
      </c>
      <c r="G58" s="325">
        <f>O30*$D4</f>
        <v>90112</v>
      </c>
      <c r="H58" s="316"/>
      <c r="I58" s="316"/>
      <c r="J58" s="316"/>
      <c r="K58" s="319" t="s">
        <v>474</v>
      </c>
      <c r="L58" s="325">
        <f>W30*$D4</f>
        <v>67584</v>
      </c>
      <c r="M58" s="316"/>
      <c r="N58" s="316"/>
    </row>
    <row r="59" spans="1:14">
      <c r="A59" s="319" t="s">
        <v>442</v>
      </c>
      <c r="B59" s="320">
        <f t="shared" ref="B59:B62" si="33">G31*$D5</f>
        <v>43712</v>
      </c>
      <c r="C59" s="316"/>
      <c r="D59" s="316"/>
      <c r="E59" s="316"/>
      <c r="F59" s="319" t="s">
        <v>267</v>
      </c>
      <c r="G59" s="320">
        <f t="shared" ref="G59:G62" si="34">O31*$D5</f>
        <v>71680</v>
      </c>
      <c r="H59" s="316"/>
      <c r="I59" s="316"/>
      <c r="J59" s="316"/>
      <c r="K59" s="319" t="s">
        <v>267</v>
      </c>
      <c r="L59" s="320">
        <f t="shared" ref="L59:L62" si="35">W31*$D5</f>
        <v>49664</v>
      </c>
      <c r="M59" s="316"/>
      <c r="N59" s="316"/>
    </row>
    <row r="60" spans="1:14">
      <c r="A60" s="319" t="s">
        <v>266</v>
      </c>
      <c r="B60" s="320">
        <f t="shared" si="33"/>
        <v>38576</v>
      </c>
      <c r="C60" s="316"/>
      <c r="D60" s="316"/>
      <c r="E60" s="316"/>
      <c r="F60" s="319" t="s">
        <v>266</v>
      </c>
      <c r="G60" s="320">
        <f t="shared" si="34"/>
        <v>67072</v>
      </c>
      <c r="H60" s="316"/>
      <c r="I60" s="316"/>
      <c r="J60" s="316"/>
      <c r="K60" s="319" t="s">
        <v>266</v>
      </c>
      <c r="L60" s="320">
        <f t="shared" si="35"/>
        <v>41088</v>
      </c>
      <c r="M60" s="316"/>
      <c r="N60" s="316"/>
    </row>
    <row r="61" spans="1:14">
      <c r="A61" s="319" t="s">
        <v>443</v>
      </c>
      <c r="B61" s="320">
        <f t="shared" si="33"/>
        <v>37292</v>
      </c>
      <c r="C61" s="316"/>
      <c r="D61" s="316"/>
      <c r="E61" s="316"/>
      <c r="F61" s="319" t="s">
        <v>265</v>
      </c>
      <c r="G61" s="320">
        <f t="shared" si="34"/>
        <v>65920</v>
      </c>
      <c r="H61" s="316"/>
      <c r="I61" s="316"/>
      <c r="J61" s="316"/>
      <c r="K61" s="319" t="s">
        <v>265</v>
      </c>
      <c r="L61" s="320">
        <f t="shared" si="35"/>
        <v>36896</v>
      </c>
      <c r="M61" s="316"/>
      <c r="N61" s="316"/>
    </row>
    <row r="62" spans="1:14">
      <c r="A62" s="319" t="s">
        <v>444</v>
      </c>
      <c r="B62" s="320">
        <f t="shared" si="33"/>
        <v>37069</v>
      </c>
      <c r="C62" s="316"/>
      <c r="D62" s="316"/>
      <c r="E62" s="316"/>
      <c r="F62" s="319" t="s">
        <v>264</v>
      </c>
      <c r="G62" s="320">
        <f t="shared" si="34"/>
        <v>65728</v>
      </c>
      <c r="H62" s="316"/>
      <c r="I62" s="316"/>
      <c r="J62" s="316"/>
      <c r="K62" s="319" t="s">
        <v>264</v>
      </c>
      <c r="L62" s="320">
        <f t="shared" si="35"/>
        <v>34848</v>
      </c>
      <c r="M62" s="316"/>
      <c r="N62" s="316"/>
    </row>
  </sheetData>
  <mergeCells count="8">
    <mergeCell ref="B40:D40"/>
    <mergeCell ref="G40:I40"/>
    <mergeCell ref="L40:N40"/>
    <mergeCell ref="A36:N36"/>
    <mergeCell ref="A37:N37"/>
    <mergeCell ref="A38:D38"/>
    <mergeCell ref="F38:I38"/>
    <mergeCell ref="K38:N38"/>
  </mergeCells>
  <phoneticPr fontId="14" type="noConversion"/>
  <pageMargins left="0.7" right="0.7" top="0.75" bottom="0.75" header="0.3" footer="0.3"/>
  <pageSetup paperSize="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Basic</vt:lpstr>
      <vt:lpstr>Examples</vt:lpstr>
      <vt:lpstr>JCT3V_D0090_PSIP_ATM6</vt:lpstr>
      <vt:lpstr>JCT3V_D0090_ALC_ATM8</vt:lpstr>
      <vt:lpstr>JCT3V_E0132_SDC_HTM7</vt:lpstr>
      <vt:lpstr>JCT3V_G0114_IC_HTM9</vt:lpstr>
      <vt:lpstr>JCT3V_G0114_MC+IC_HTM9</vt:lpstr>
      <vt:lpstr>JCT3V_G0208_MCprocess_HTM9</vt:lpstr>
      <vt:lpstr>JCT3V_H0127_DIM_HTM10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s124087_0209</dc:creator>
  <cp:lastModifiedBy>Chun-Fu Chen</cp:lastModifiedBy>
  <dcterms:created xsi:type="dcterms:W3CDTF">2013-02-04T07:54:29Z</dcterms:created>
  <dcterms:modified xsi:type="dcterms:W3CDTF">2014-03-28T13:17:55Z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